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676" activeTab="0"/>
  </bookViews>
  <sheets>
    <sheet name="Río Torca" sheetId="1" r:id="rId1"/>
    <sheet name="Subcuenca río Torca" sheetId="2" r:id="rId2"/>
    <sheet name="Río Salitre" sheetId="3" r:id="rId3"/>
    <sheet name="Subcuencas río Salitre" sheetId="4" r:id="rId4"/>
    <sheet name="Río Fucha" sheetId="5" r:id="rId5"/>
    <sheet name="Subcuencas río Fucha" sheetId="6" r:id="rId6"/>
    <sheet name="Río Tunjuelo" sheetId="7" r:id="rId7"/>
    <sheet name="Subcuencas río Tunjuelo" sheetId="8" r:id="rId8"/>
    <sheet name="Carga Contaminante EAB-ESP 2019" sheetId="9" r:id="rId9"/>
  </sheets>
  <externalReferences>
    <externalReference r:id="rId12"/>
  </externalReferences>
  <definedNames>
    <definedName name="_xlfn.ANCHORARRAY" hidden="1">#NAME?</definedName>
    <definedName name="H_MUESTREO">'[1]Datos'!$FB$7:$FB$12</definedName>
    <definedName name="OLE_LINK1" localSheetId="2">'Río Salitre'!#REF!</definedName>
  </definedNames>
  <calcPr fullCalcOnLoad="1"/>
</workbook>
</file>

<file path=xl/comments1.xml><?xml version="1.0" encoding="utf-8"?>
<comments xmlns="http://schemas.openxmlformats.org/spreadsheetml/2006/main">
  <authors>
    <author>usuario</author>
    <author>Fabian Jaimes</author>
  </authors>
  <commentList>
    <comment ref="AL26" authorId="0">
      <text>
        <r>
          <rPr>
            <b/>
            <sz val="9"/>
            <rFont val="Tahoma"/>
            <family val="2"/>
          </rPr>
          <t>Cambia el FM de 0,73 a 0,76 por ser el intervalo de 30 minutos más cercano.</t>
        </r>
      </text>
    </comment>
    <comment ref="AK39" authorId="1">
      <text>
        <r>
          <rPr>
            <b/>
            <sz val="9"/>
            <rFont val="Tahoma"/>
            <family val="2"/>
          </rPr>
          <t xml:space="preserve">Se modificó el FM hora 12:00pm
</t>
        </r>
        <r>
          <rPr>
            <sz val="9"/>
            <rFont val="Tahoma"/>
            <family val="2"/>
          </rPr>
          <t xml:space="preserve">
</t>
        </r>
      </text>
    </comment>
    <comment ref="AL39" authorId="1">
      <text>
        <r>
          <rPr>
            <b/>
            <sz val="9"/>
            <rFont val="Tahoma"/>
            <family val="2"/>
          </rPr>
          <t>Se modificó FM, hora 12:00pm</t>
        </r>
        <r>
          <rPr>
            <sz val="9"/>
            <rFont val="Tahoma"/>
            <family val="2"/>
          </rPr>
          <t xml:space="preserve">
</t>
        </r>
      </text>
    </comment>
    <comment ref="AK51" authorId="1">
      <text>
        <r>
          <rPr>
            <b/>
            <sz val="9"/>
            <rFont val="Tahoma"/>
            <family val="2"/>
          </rPr>
          <t xml:space="preserve">Se modificó FM, hora 12:30pm
</t>
        </r>
        <r>
          <rPr>
            <sz val="9"/>
            <rFont val="Tahoma"/>
            <family val="2"/>
          </rPr>
          <t xml:space="preserve">
</t>
        </r>
      </text>
    </comment>
    <comment ref="AL51" authorId="1">
      <text>
        <r>
          <rPr>
            <b/>
            <sz val="9"/>
            <rFont val="Tahoma"/>
            <family val="2"/>
          </rPr>
          <t>Se modificó FM, hora 12:30pm</t>
        </r>
        <r>
          <rPr>
            <sz val="9"/>
            <rFont val="Tahoma"/>
            <family val="2"/>
          </rPr>
          <t xml:space="preserve">
</t>
        </r>
      </text>
    </comment>
  </commentList>
</comments>
</file>

<file path=xl/comments3.xml><?xml version="1.0" encoding="utf-8"?>
<comments xmlns="http://schemas.openxmlformats.org/spreadsheetml/2006/main">
  <authors>
    <author>usuario</author>
  </authors>
  <commentList>
    <comment ref="AK93" authorId="0">
      <text>
        <r>
          <rPr>
            <b/>
            <sz val="9"/>
            <rFont val="Tahoma"/>
            <family val="2"/>
          </rPr>
          <t>Cambia el FM debido al tipo de curva (D a F).</t>
        </r>
        <r>
          <rPr>
            <sz val="9"/>
            <rFont val="Tahoma"/>
            <family val="2"/>
          </rPr>
          <t xml:space="preserve">
</t>
        </r>
      </text>
    </comment>
    <comment ref="AL93" authorId="0">
      <text>
        <r>
          <rPr>
            <b/>
            <sz val="9"/>
            <rFont val="Tahoma"/>
            <family val="2"/>
          </rPr>
          <t xml:space="preserve">Cambia el FM debido al tipo de curva (D a F).
</t>
        </r>
      </text>
    </comment>
  </commentList>
</comments>
</file>

<file path=xl/comments7.xml><?xml version="1.0" encoding="utf-8"?>
<comments xmlns="http://schemas.openxmlformats.org/spreadsheetml/2006/main">
  <authors>
    <author>DANIELA.CARVAJAL</author>
  </authors>
  <commentList>
    <comment ref="AE89" authorId="0">
      <text>
        <r>
          <rPr>
            <b/>
            <sz val="9"/>
            <rFont val="Tahoma"/>
            <family val="2"/>
          </rPr>
          <t>DANIELA.CARVAJAL:</t>
        </r>
        <r>
          <rPr>
            <sz val="9"/>
            <rFont val="Tahoma"/>
            <family val="2"/>
          </rPr>
          <t xml:space="preserve">
Solo reportaron caudal promedio 
</t>
        </r>
      </text>
    </comment>
    <comment ref="AE105" authorId="0">
      <text>
        <r>
          <rPr>
            <b/>
            <sz val="9"/>
            <rFont val="Tahoma"/>
            <family val="2"/>
          </rPr>
          <t xml:space="preserve">DANIELA.CARVAJAL:
Solo Reportarón Caudal Promedio
</t>
        </r>
      </text>
    </comment>
    <comment ref="AE149" authorId="0">
      <text>
        <r>
          <rPr>
            <b/>
            <sz val="9"/>
            <rFont val="Tahoma"/>
            <family val="2"/>
          </rPr>
          <t>DANIELA.CARVAJAL:</t>
        </r>
        <r>
          <rPr>
            <sz val="9"/>
            <rFont val="Tahoma"/>
            <family val="2"/>
          </rPr>
          <t xml:space="preserve">
Solo reportan caudal promedio 
</t>
        </r>
      </text>
    </comment>
    <comment ref="AE151" authorId="0">
      <text>
        <r>
          <rPr>
            <b/>
            <sz val="9"/>
            <rFont val="Tahoma"/>
            <family val="2"/>
          </rPr>
          <t>DANIELA.CARVAJAL:</t>
        </r>
        <r>
          <rPr>
            <sz val="9"/>
            <rFont val="Tahoma"/>
            <family val="2"/>
          </rPr>
          <t xml:space="preserve">
Solo reportan caudal promedio
</t>
        </r>
      </text>
    </comment>
    <comment ref="AE153" authorId="0">
      <text>
        <r>
          <rPr>
            <b/>
            <sz val="9"/>
            <rFont val="Tahoma"/>
            <family val="2"/>
          </rPr>
          <t>DANIELA.CARVAJAL:</t>
        </r>
        <r>
          <rPr>
            <sz val="9"/>
            <rFont val="Tahoma"/>
            <family val="2"/>
          </rPr>
          <t xml:space="preserve">
solo reportan caudal promedio 
</t>
        </r>
      </text>
    </comment>
    <comment ref="AE157" authorId="0">
      <text>
        <r>
          <rPr>
            <b/>
            <sz val="9"/>
            <rFont val="Tahoma"/>
            <family val="2"/>
          </rPr>
          <t>DANIELA.CARVAJAL:</t>
        </r>
        <r>
          <rPr>
            <sz val="9"/>
            <rFont val="Tahoma"/>
            <family val="2"/>
          </rPr>
          <t xml:space="preserve">
SOLO REPORTAN CAUDAL PROMEDIO 
</t>
        </r>
      </text>
    </comment>
    <comment ref="AE161" authorId="0">
      <text>
        <r>
          <rPr>
            <b/>
            <sz val="9"/>
            <rFont val="Tahoma"/>
            <family val="2"/>
          </rPr>
          <t>DANIELA.CARVAJAL:</t>
        </r>
        <r>
          <rPr>
            <sz val="9"/>
            <rFont val="Tahoma"/>
            <family val="2"/>
          </rPr>
          <t xml:space="preserve">
SOLO REPORTAN CAUDAL PROMEDIO 
</t>
        </r>
      </text>
    </comment>
    <comment ref="AE166" authorId="0">
      <text>
        <r>
          <rPr>
            <b/>
            <sz val="9"/>
            <rFont val="Tahoma"/>
            <family val="2"/>
          </rPr>
          <t>DANIELA.CARVAJAL:</t>
        </r>
        <r>
          <rPr>
            <sz val="9"/>
            <rFont val="Tahoma"/>
            <family val="2"/>
          </rPr>
          <t xml:space="preserve">
Solo reportan caudal promedio 
</t>
        </r>
      </text>
    </comment>
    <comment ref="AE169" authorId="0">
      <text>
        <r>
          <rPr>
            <b/>
            <sz val="9"/>
            <rFont val="Tahoma"/>
            <family val="2"/>
          </rPr>
          <t>DANIELA.CARVAJAL:</t>
        </r>
        <r>
          <rPr>
            <sz val="9"/>
            <rFont val="Tahoma"/>
            <family val="2"/>
          </rPr>
          <t xml:space="preserve">
solo reportan caudal prom
</t>
        </r>
      </text>
    </comment>
    <comment ref="AE170" authorId="0">
      <text>
        <r>
          <rPr>
            <b/>
            <sz val="9"/>
            <rFont val="Tahoma"/>
            <family val="2"/>
          </rPr>
          <t>DANIELA.CARVAJAL:</t>
        </r>
        <r>
          <rPr>
            <sz val="9"/>
            <rFont val="Tahoma"/>
            <family val="2"/>
          </rPr>
          <t xml:space="preserve">
solo reportan caudal prom 
</t>
        </r>
      </text>
    </comment>
    <comment ref="AE171" authorId="0">
      <text>
        <r>
          <rPr>
            <b/>
            <sz val="9"/>
            <rFont val="Tahoma"/>
            <family val="2"/>
          </rPr>
          <t>DANIELA.CARVAJAL:</t>
        </r>
        <r>
          <rPr>
            <sz val="9"/>
            <rFont val="Tahoma"/>
            <family val="2"/>
          </rPr>
          <t xml:space="preserve">
solo reportan caudal promedio
</t>
        </r>
      </text>
    </comment>
    <comment ref="AE172" authorId="0">
      <text>
        <r>
          <rPr>
            <b/>
            <sz val="9"/>
            <rFont val="Tahoma"/>
            <family val="2"/>
          </rPr>
          <t>DANIELA.CARVAJAL:</t>
        </r>
        <r>
          <rPr>
            <sz val="9"/>
            <rFont val="Tahoma"/>
            <family val="2"/>
          </rPr>
          <t xml:space="preserve">
Solo reportan caudal prom
</t>
        </r>
      </text>
    </comment>
    <comment ref="AE173" authorId="0">
      <text>
        <r>
          <rPr>
            <b/>
            <sz val="9"/>
            <rFont val="Tahoma"/>
            <family val="2"/>
          </rPr>
          <t>DANIELA.CARVAJAL:</t>
        </r>
        <r>
          <rPr>
            <sz val="9"/>
            <rFont val="Tahoma"/>
            <family val="2"/>
          </rPr>
          <t xml:space="preserve">
solo reportan caudal prom 
</t>
        </r>
      </text>
    </comment>
    <comment ref="AE174" authorId="0">
      <text>
        <r>
          <rPr>
            <b/>
            <sz val="9"/>
            <rFont val="Tahoma"/>
            <family val="2"/>
          </rPr>
          <t>DANIELA.CARVAJAL:</t>
        </r>
        <r>
          <rPr>
            <sz val="9"/>
            <rFont val="Tahoma"/>
            <family val="2"/>
          </rPr>
          <t xml:space="preserve">
solo reportan caudal prom </t>
        </r>
      </text>
    </comment>
    <comment ref="AE177" authorId="0">
      <text>
        <r>
          <rPr>
            <b/>
            <sz val="9"/>
            <rFont val="Tahoma"/>
            <family val="2"/>
          </rPr>
          <t>DANIELA.CARVAJAL:</t>
        </r>
        <r>
          <rPr>
            <sz val="9"/>
            <rFont val="Tahoma"/>
            <family val="2"/>
          </rPr>
          <t xml:space="preserve">
Solo reportan caudal prom
</t>
        </r>
      </text>
    </comment>
    <comment ref="AE178" authorId="0">
      <text>
        <r>
          <rPr>
            <b/>
            <sz val="9"/>
            <rFont val="Tahoma"/>
            <family val="2"/>
          </rPr>
          <t>DANIELA.CARVAJAL:</t>
        </r>
        <r>
          <rPr>
            <sz val="9"/>
            <rFont val="Tahoma"/>
            <family val="2"/>
          </rPr>
          <t xml:space="preserve">
solo reportan caudal prom
</t>
        </r>
      </text>
    </comment>
  </commentList>
</comments>
</file>

<file path=xl/sharedStrings.xml><?xml version="1.0" encoding="utf-8"?>
<sst xmlns="http://schemas.openxmlformats.org/spreadsheetml/2006/main" count="16507" uniqueCount="4182">
  <si>
    <t>No.</t>
  </si>
  <si>
    <t>Coordenadas Geográficas</t>
  </si>
  <si>
    <t>Río Fucha</t>
  </si>
  <si>
    <t>Río Torca</t>
  </si>
  <si>
    <t>Río Salitre</t>
  </si>
  <si>
    <t>04°40'35.14"N</t>
  </si>
  <si>
    <t>Río Tunjuelo</t>
  </si>
  <si>
    <t>74°2'21.3504"W</t>
  </si>
  <si>
    <t>04°37'30.3060"N</t>
  </si>
  <si>
    <t>04°40'32.59"N</t>
  </si>
  <si>
    <t>04°41'12.88"N</t>
  </si>
  <si>
    <t>04°41'37.37"N</t>
  </si>
  <si>
    <t>04°41'40.62"N</t>
  </si>
  <si>
    <t>04°41'42.55"N</t>
  </si>
  <si>
    <t>04°43'58.63"N</t>
  </si>
  <si>
    <t>Canal Río Seco</t>
  </si>
  <si>
    <t xml:space="preserve">04º34'33" N </t>
  </si>
  <si>
    <t xml:space="preserve">04º34'51.783" N </t>
  </si>
  <si>
    <t xml:space="preserve">04º34'51.983" N </t>
  </si>
  <si>
    <t xml:space="preserve">04º34'54.882" N </t>
  </si>
  <si>
    <t xml:space="preserve">04º34'59.506" N </t>
  </si>
  <si>
    <t xml:space="preserve">04º34'56.708" N </t>
  </si>
  <si>
    <t xml:space="preserve">04º35'45.367" N </t>
  </si>
  <si>
    <t xml:space="preserve">04º36'11.446" N </t>
  </si>
  <si>
    <t xml:space="preserve">04°36'13.26" N </t>
  </si>
  <si>
    <t xml:space="preserve">04º36'21.376" N </t>
  </si>
  <si>
    <t xml:space="preserve">04º36'19.941" N </t>
  </si>
  <si>
    <t xml:space="preserve">04º36'11.263" N </t>
  </si>
  <si>
    <t xml:space="preserve">04º36'11.259" N </t>
  </si>
  <si>
    <t xml:space="preserve">04º36'11.403" N </t>
  </si>
  <si>
    <t xml:space="preserve">04º36'11.838" N </t>
  </si>
  <si>
    <t xml:space="preserve">04º36'11.7" N </t>
  </si>
  <si>
    <t xml:space="preserve">04º36'12.213" N </t>
  </si>
  <si>
    <t xml:space="preserve">04º36'12.817" N </t>
  </si>
  <si>
    <t xml:space="preserve">04º36'13.2" N </t>
  </si>
  <si>
    <t xml:space="preserve">04º36'17.82" N </t>
  </si>
  <si>
    <t xml:space="preserve">04º36'18.782" N </t>
  </si>
  <si>
    <t xml:space="preserve">04º36'21.408" N </t>
  </si>
  <si>
    <t xml:space="preserve">04º36'21.154" N </t>
  </si>
  <si>
    <t xml:space="preserve">04º36'21.25" N </t>
  </si>
  <si>
    <t xml:space="preserve">04º36'25.68" N </t>
  </si>
  <si>
    <t xml:space="preserve">04º36'48" N </t>
  </si>
  <si>
    <t xml:space="preserve">04º36'59.74" N </t>
  </si>
  <si>
    <t>04°41'12.85"N</t>
  </si>
  <si>
    <t xml:space="preserve">04°31'13.4" N </t>
  </si>
  <si>
    <t xml:space="preserve">04°34'41.2" N </t>
  </si>
  <si>
    <t xml:space="preserve">04º34'42.064" N </t>
  </si>
  <si>
    <t xml:space="preserve">04º35'44.16" N </t>
  </si>
  <si>
    <t xml:space="preserve">04º35'45.098" N </t>
  </si>
  <si>
    <t>04°43'51.2" N</t>
  </si>
  <si>
    <t>04°44'13.33"N</t>
  </si>
  <si>
    <t>04°44'31.77"N</t>
  </si>
  <si>
    <t>04°44'36.16"N</t>
  </si>
  <si>
    <t>Canal Del Norte</t>
  </si>
  <si>
    <t>Canal Contador</t>
  </si>
  <si>
    <t>Río Molinos</t>
  </si>
  <si>
    <t>Canal Córdoba</t>
  </si>
  <si>
    <t>04°41'12.67"N</t>
  </si>
  <si>
    <t>04°41'40.440" N</t>
  </si>
  <si>
    <t>04°41'47.23"N</t>
  </si>
  <si>
    <t>04°41'47.39"N</t>
  </si>
  <si>
    <t>04°43'16.44"N</t>
  </si>
  <si>
    <t>04°38'20.67"N</t>
  </si>
  <si>
    <t>04°40'43.68"N</t>
  </si>
  <si>
    <t>Río Negro</t>
  </si>
  <si>
    <t>74°06'10.97"W</t>
  </si>
  <si>
    <t>74°06'37.36"W</t>
  </si>
  <si>
    <t>74°06'52.78"W</t>
  </si>
  <si>
    <t>74°07'14.62"W</t>
  </si>
  <si>
    <t>74°07'23.44" W</t>
  </si>
  <si>
    <t>74°07'47.72" W</t>
  </si>
  <si>
    <t>04°39'25.54" N</t>
  </si>
  <si>
    <t>74°07'51.79" W</t>
  </si>
  <si>
    <t>Río San Francisco</t>
  </si>
  <si>
    <t>Quebrada Yomasa</t>
  </si>
  <si>
    <t>Quebrada Hoya del Ramo</t>
  </si>
  <si>
    <t>Quebrada Santa Librada</t>
  </si>
  <si>
    <t>Quebrada El Infierno</t>
  </si>
  <si>
    <t>Quebrada Trompeta</t>
  </si>
  <si>
    <t>Quebrada Limas</t>
  </si>
  <si>
    <t>Quebrada La Nutria</t>
  </si>
  <si>
    <t>Quebrada Honda</t>
  </si>
  <si>
    <t>04°33'49.4081"N</t>
  </si>
  <si>
    <t>04°35'47.2"N</t>
  </si>
  <si>
    <t xml:space="preserve">Río Principal Asociado </t>
  </si>
  <si>
    <t>Tramo Asociado a la Descarga</t>
  </si>
  <si>
    <t>Canal Albina</t>
  </si>
  <si>
    <t>Localización</t>
  </si>
  <si>
    <t>74°01'17.78"W</t>
  </si>
  <si>
    <t>RTO-T1-0010</t>
  </si>
  <si>
    <t>CL 150 A No. 5-30</t>
  </si>
  <si>
    <t>RTO-T1-0120</t>
  </si>
  <si>
    <t>RTO-T1-0100</t>
  </si>
  <si>
    <t>RTO-T1-0130</t>
  </si>
  <si>
    <t>RTO-T1-0040</t>
  </si>
  <si>
    <t>CL 153 KR 7A</t>
  </si>
  <si>
    <t>74°01'32.1189"W</t>
  </si>
  <si>
    <t>04°43' 24.95"N</t>
  </si>
  <si>
    <t>04°43'40.6740"N</t>
  </si>
  <si>
    <t>RTO-T1-0050</t>
  </si>
  <si>
    <t>74°01'37.41"W</t>
  </si>
  <si>
    <t>CL 153 KR 7 C</t>
  </si>
  <si>
    <t>RTO-T1-0070</t>
  </si>
  <si>
    <t>CL 153 KR 7 G</t>
  </si>
  <si>
    <t>04°43' 43.35"N</t>
  </si>
  <si>
    <t>04°43' 46.07"N</t>
  </si>
  <si>
    <t>CL 153 KR 8 A</t>
  </si>
  <si>
    <t>74°1'51.2801"W</t>
  </si>
  <si>
    <t>04°43'50.0232"N</t>
  </si>
  <si>
    <t xml:space="preserve">CL 153 KR 9 (ANTES PUENTE)  </t>
  </si>
  <si>
    <t>04°43'52.1001ʺN</t>
  </si>
  <si>
    <t>74°01'55.2810ʺW</t>
  </si>
  <si>
    <t>RTO-T1-0150</t>
  </si>
  <si>
    <t>RTO-T1-0190</t>
  </si>
  <si>
    <t>CL 153 KR 9 (DEBAJO DEL PUENTE)</t>
  </si>
  <si>
    <t>CL 153 KR 9 A</t>
  </si>
  <si>
    <t>74°2'01.1447"W</t>
  </si>
  <si>
    <t>RTO-T1-0160</t>
  </si>
  <si>
    <t>CL 153 KR 12 C</t>
  </si>
  <si>
    <t>74°02'02.80"W</t>
  </si>
  <si>
    <t>RTO-T1-0170</t>
  </si>
  <si>
    <t>74°02'02.60"W</t>
  </si>
  <si>
    <t>RTO-T1-0181</t>
  </si>
  <si>
    <t>74°02'04.53"W</t>
  </si>
  <si>
    <t>CL 153 KR 13</t>
  </si>
  <si>
    <t>74°2'06.7496"W</t>
  </si>
  <si>
    <t>RTO-T1-0240</t>
  </si>
  <si>
    <t>CL 153 KR 14</t>
  </si>
  <si>
    <t>74°02'12.1602ʺW</t>
  </si>
  <si>
    <t>RTO-T1-0250</t>
  </si>
  <si>
    <t>74°2'14.2500"W</t>
  </si>
  <si>
    <t>RTO-T1-0270</t>
  </si>
  <si>
    <t>CL 153 KR 14 A</t>
  </si>
  <si>
    <t>74°2'16.3351"W</t>
  </si>
  <si>
    <t>RTO-T1-0260</t>
  </si>
  <si>
    <t>CL 153 KR 14 BIS</t>
  </si>
  <si>
    <t>74°2'14.9859"W</t>
  </si>
  <si>
    <t>RTO-T1-0360</t>
  </si>
  <si>
    <t>CL 157 KR 15</t>
  </si>
  <si>
    <t>74°2'17.92"W</t>
  </si>
  <si>
    <t>RTO-T1-0390</t>
  </si>
  <si>
    <t>CL 159 KR 15</t>
  </si>
  <si>
    <t>04°44'14.90"N</t>
  </si>
  <si>
    <t>74°02'17.57"W</t>
  </si>
  <si>
    <t>RTO-T1-0400</t>
  </si>
  <si>
    <t>CL 160 KR 15</t>
  </si>
  <si>
    <t>74°02'15.55"W</t>
  </si>
  <si>
    <t>RTO-T1-0410</t>
  </si>
  <si>
    <t>CCR-RTO-F
(RTO-T1-0420)</t>
  </si>
  <si>
    <t>74°02΄14.2721ʺW</t>
  </si>
  <si>
    <t>RTO-T1-0310</t>
  </si>
  <si>
    <t>CL 153 KR 15</t>
  </si>
  <si>
    <t>RTO-T1-0370</t>
  </si>
  <si>
    <t>RTO-T1-0430</t>
  </si>
  <si>
    <t>CL 161 KR 15</t>
  </si>
  <si>
    <t>04°44'23.0545"N</t>
  </si>
  <si>
    <t>74°02'14.6649"W</t>
  </si>
  <si>
    <t>RTO-T1-0440</t>
  </si>
  <si>
    <t>CL 163 B KR 15</t>
  </si>
  <si>
    <t>74°02'11.75"W</t>
  </si>
  <si>
    <t>RTO-T1-0460</t>
  </si>
  <si>
    <t>CL163  A KR 15</t>
  </si>
  <si>
    <t>74°02'12.3673"W</t>
  </si>
  <si>
    <t>RTO-T1-0450</t>
  </si>
  <si>
    <t>CL 163 KR 15</t>
  </si>
  <si>
    <t>RTO-T1-0470</t>
  </si>
  <si>
    <t xml:space="preserve">CL 164 KR 15 </t>
  </si>
  <si>
    <t>74°02'11.9103"W</t>
  </si>
  <si>
    <t>RTO-T1-0480</t>
  </si>
  <si>
    <t>RTO-T1-0530</t>
  </si>
  <si>
    <t>CL 166 KR 15</t>
  </si>
  <si>
    <t>74°02΄12.89"W</t>
  </si>
  <si>
    <t>RTO-T1-0490</t>
  </si>
  <si>
    <t>CL 164B KR 15</t>
  </si>
  <si>
    <t>RTO-T1-0560</t>
  </si>
  <si>
    <t>CL 167 KR 15</t>
  </si>
  <si>
    <t>74°02΄13.49"W</t>
  </si>
  <si>
    <t>RTO-T1-0590</t>
  </si>
  <si>
    <t>CL 168 KR 15</t>
  </si>
  <si>
    <t>RTO-T1-0600</t>
  </si>
  <si>
    <t>74°02΄14.48"W</t>
  </si>
  <si>
    <t>RTO-T1-0610</t>
  </si>
  <si>
    <t>74°02΄14.49"W</t>
  </si>
  <si>
    <t>CSZ-RTO-F
(RTO-T1-0670)</t>
  </si>
  <si>
    <t>CL 174 KR 15</t>
  </si>
  <si>
    <t>74°02΄15.25ʺW</t>
  </si>
  <si>
    <t>RTO-T1-0720</t>
  </si>
  <si>
    <t>74°02'24.2664"W</t>
  </si>
  <si>
    <t>RTO-T1-0730</t>
  </si>
  <si>
    <t>74°02'24.22"W</t>
  </si>
  <si>
    <t>RTO-T1-0740</t>
  </si>
  <si>
    <t>CL 175 KR 15</t>
  </si>
  <si>
    <t>74°02΄25.19"W</t>
  </si>
  <si>
    <t>RTO-T1-0750</t>
  </si>
  <si>
    <t>04°45'19.2826"N</t>
  </si>
  <si>
    <t>74°02'24.0927"W</t>
  </si>
  <si>
    <t>RTO-T1-0760</t>
  </si>
  <si>
    <t>CL 180 KR 19</t>
  </si>
  <si>
    <t>74°02΄28.35"W</t>
  </si>
  <si>
    <t>RTO-T1-0770</t>
  </si>
  <si>
    <t>74°02'27.25ʺW</t>
  </si>
  <si>
    <t>RTO-T1-0780</t>
  </si>
  <si>
    <t>CL 181 KR 19</t>
  </si>
  <si>
    <t>04°45'29.38”N</t>
  </si>
  <si>
    <t>74°02'28.26”W</t>
  </si>
  <si>
    <t>RTO-T1-0790</t>
  </si>
  <si>
    <t>74°02'28.25”W</t>
  </si>
  <si>
    <t>RTO-T1-0800</t>
  </si>
  <si>
    <t>RTO-T1-0810</t>
  </si>
  <si>
    <t>RTO-T2-0180</t>
  </si>
  <si>
    <t>RTO-T2-0200</t>
  </si>
  <si>
    <t>74°02΄27.63"W</t>
  </si>
  <si>
    <t>74°02΄27.93"W</t>
  </si>
  <si>
    <t>CL 183 KR 19</t>
  </si>
  <si>
    <t>CL 193 KR 18</t>
  </si>
  <si>
    <t>CL 194 KR 18</t>
  </si>
  <si>
    <t>CL 175 KR 15
CANAL EL REDIL</t>
  </si>
  <si>
    <t>CL 180 KR 19
CANAL EL REDIL</t>
  </si>
  <si>
    <t>RSA-T1-0010</t>
  </si>
  <si>
    <t>RSA-T1-0020</t>
  </si>
  <si>
    <t>Parque Nacional</t>
  </si>
  <si>
    <t>04°37'29.0237"N</t>
  </si>
  <si>
    <t>RSA-T1-0030</t>
  </si>
  <si>
    <t>Casetas Parque Nacional</t>
  </si>
  <si>
    <t>04°37'29.2104"N</t>
  </si>
  <si>
    <t>RSA-T1-0040</t>
  </si>
  <si>
    <t>04°37'29.4325"N</t>
  </si>
  <si>
    <t>RSA-T1-0060</t>
  </si>
  <si>
    <t>RSA-T2-0010</t>
  </si>
  <si>
    <t>RSA-T2-0020</t>
  </si>
  <si>
    <t>RSA-T2-0070</t>
  </si>
  <si>
    <t>RSA-T2-0130</t>
  </si>
  <si>
    <t>04°37'32.9325"N</t>
  </si>
  <si>
    <t>04°37'33.0498"N</t>
  </si>
  <si>
    <t>04°37'49.1994"N</t>
  </si>
  <si>
    <t>04°37'56.6286"N</t>
  </si>
  <si>
    <t>04°38'03.8827"N</t>
  </si>
  <si>
    <t>KR 7 con CL 39</t>
  </si>
  <si>
    <t>KR 17 DG 40 A BIS</t>
  </si>
  <si>
    <t>DG 42 A KR 21</t>
  </si>
  <si>
    <t>RSA-T2-0140</t>
  </si>
  <si>
    <t>AK 30 CL 49 A</t>
  </si>
  <si>
    <t>CL 45 A con DG 25 A.</t>
  </si>
  <si>
    <t>04°38'20.1046"N</t>
  </si>
  <si>
    <t>RSA-T2-0141</t>
  </si>
  <si>
    <t>04°38'20.44"N</t>
  </si>
  <si>
    <t>RSA-T2-0142</t>
  </si>
  <si>
    <t>Inicio del Canal por la AK 30</t>
  </si>
  <si>
    <t>04°38'20.87"N</t>
  </si>
  <si>
    <t>RSA-T2-0150</t>
  </si>
  <si>
    <t>AK 30 CL 47</t>
  </si>
  <si>
    <t>74°04'46.10"W</t>
  </si>
  <si>
    <t>RSA-T3-0010</t>
  </si>
  <si>
    <t>04°38'22.7826"N</t>
  </si>
  <si>
    <t>RSA-T3-0040</t>
  </si>
  <si>
    <t>AK 30 CL 53 A BIS</t>
  </si>
  <si>
    <t>04°38'40.2116"N</t>
  </si>
  <si>
    <t>RSA-T3-0050</t>
  </si>
  <si>
    <t>04°38'40.9612"N</t>
  </si>
  <si>
    <t>RSA-T3-0070</t>
  </si>
  <si>
    <t xml:space="preserve">AK 30 CL 62 </t>
  </si>
  <si>
    <t>04°39'03.5773"N</t>
  </si>
  <si>
    <t>RSA-T3-0080</t>
  </si>
  <si>
    <t>04°39'04.2937"N</t>
  </si>
  <si>
    <t>RSA-T3-0120</t>
  </si>
  <si>
    <t>04°39'31.9146"N</t>
  </si>
  <si>
    <t>RSA-T3-0130</t>
  </si>
  <si>
    <t>AK 30 CL 64-40</t>
  </si>
  <si>
    <t>04°39'32.7123"N</t>
  </si>
  <si>
    <t>RSA-T3-0170</t>
  </si>
  <si>
    <t>AK 30 CL 68</t>
  </si>
  <si>
    <t>04°39'49.6633"N</t>
  </si>
  <si>
    <t>RSA-T3-0180</t>
  </si>
  <si>
    <t>04°39'50.5998"N</t>
  </si>
  <si>
    <t>RSA-T3-0200</t>
  </si>
  <si>
    <t xml:space="preserve"> CL 70 KR 50</t>
  </si>
  <si>
    <t>04°39'56.0201"N</t>
  </si>
  <si>
    <t>RSA-T3-0210</t>
  </si>
  <si>
    <t>04°39'57.3628"N</t>
  </si>
  <si>
    <t xml:space="preserve">DG 71 BIS KR 50 </t>
  </si>
  <si>
    <t>RSA-T3-0220</t>
  </si>
  <si>
    <t>RSA-T3-0250</t>
  </si>
  <si>
    <t>RSA-T3-0260</t>
  </si>
  <si>
    <t xml:space="preserve">TV 56 A No 73 </t>
  </si>
  <si>
    <t xml:space="preserve">TV 56 A No 73 - 46 </t>
  </si>
  <si>
    <t>04°39'57.9017"N</t>
  </si>
  <si>
    <t>04°40'15.7617"N</t>
  </si>
  <si>
    <t>04°40'17.8946"N</t>
  </si>
  <si>
    <t>RSA-T3-0270</t>
  </si>
  <si>
    <t>RSA-T3-0290</t>
  </si>
  <si>
    <t>TV 56 A CL 76</t>
  </si>
  <si>
    <t>KR 58 CL 79</t>
  </si>
  <si>
    <t>TV 56 A CL 74</t>
  </si>
  <si>
    <t>04°40'19.3609"N</t>
  </si>
  <si>
    <t>04°40'28.0016"N</t>
  </si>
  <si>
    <t>RSA-T3-0300</t>
  </si>
  <si>
    <t>04°40'37.2397"N</t>
  </si>
  <si>
    <t>04°40'42.96"N</t>
  </si>
  <si>
    <t>DG 79 B KR 61</t>
  </si>
  <si>
    <t>RSA-T3-0320</t>
  </si>
  <si>
    <t>RSA-T3-0330</t>
  </si>
  <si>
    <t>RSA-T3-0370</t>
  </si>
  <si>
    <t>RSA-T3-0380</t>
  </si>
  <si>
    <t>RSA-T3-0420</t>
  </si>
  <si>
    <t>KR 65 CL 88</t>
  </si>
  <si>
    <t>04°40'45.75"N</t>
  </si>
  <si>
    <t>04°40'54.9249"N</t>
  </si>
  <si>
    <t>04°40'57.1770"N</t>
  </si>
  <si>
    <t>74°04'34.9813"W</t>
  </si>
  <si>
    <t>DG 79 B KR 62</t>
  </si>
  <si>
    <t xml:space="preserve">AC 80 KR 63 </t>
  </si>
  <si>
    <t xml:space="preserve">CL 85 KR 63 </t>
  </si>
  <si>
    <t>RSA-T3-0430</t>
  </si>
  <si>
    <t>RSA-T3-0440</t>
  </si>
  <si>
    <t>04°41'05.0993"N</t>
  </si>
  <si>
    <t>74°04'36.7580"W</t>
  </si>
  <si>
    <t>RSA-T3- 0030</t>
  </si>
  <si>
    <t>RSA-T3-0310</t>
  </si>
  <si>
    <t>CEV-CRN-0200</t>
  </si>
  <si>
    <t>CEV-CRN-0210</t>
  </si>
  <si>
    <t>CRN-RSA-0340</t>
  </si>
  <si>
    <t>RSA-T4-0010</t>
  </si>
  <si>
    <t>RSA-T4-0020</t>
  </si>
  <si>
    <t>RSA-T4-0030</t>
  </si>
  <si>
    <t>AK 68 CL 93 A</t>
  </si>
  <si>
    <t>KR 68 D CL 87</t>
  </si>
  <si>
    <t>KR 68 B CL 93 A</t>
  </si>
  <si>
    <t>74°04'39.30"W</t>
  </si>
  <si>
    <t>74°04'42.8437"W</t>
  </si>
  <si>
    <t>74°04'42.0366"W</t>
  </si>
  <si>
    <t>RSA-T4-0060</t>
  </si>
  <si>
    <t>RSA-T4-0070</t>
  </si>
  <si>
    <t>RSA-T4-0100</t>
  </si>
  <si>
    <t>74°04'47.2802"W</t>
  </si>
  <si>
    <t>74°04'47.3041"W</t>
  </si>
  <si>
    <t>74°04'48.5137"W</t>
  </si>
  <si>
    <t>KR 69 CL 87</t>
  </si>
  <si>
    <t>KR 69 B CL 93 A</t>
  </si>
  <si>
    <t>KR 69 C CL 93 A</t>
  </si>
  <si>
    <t>RSA-T4-0130</t>
  </si>
  <si>
    <t>CL 86 A KR 69 P</t>
  </si>
  <si>
    <t>RSA-T4-0140</t>
  </si>
  <si>
    <t>AK 70 CL 93 A</t>
  </si>
  <si>
    <t>74°04'50.8211"W</t>
  </si>
  <si>
    <t>RSA-T4-0160</t>
  </si>
  <si>
    <t>RSA-T4-0170</t>
  </si>
  <si>
    <t>RSA-T4-0190</t>
  </si>
  <si>
    <t>RSA-T4-0200</t>
  </si>
  <si>
    <t>Costado Nororiental del Jumbo CL 80</t>
  </si>
  <si>
    <t>CL 86 A No 69 T</t>
  </si>
  <si>
    <t>74°04'52.6314"W</t>
  </si>
  <si>
    <t>74°04'52.9732"W</t>
  </si>
  <si>
    <t>74°04'55.3088"W</t>
  </si>
  <si>
    <t>74°04'57.8790"W</t>
  </si>
  <si>
    <t>RSA-T4-0210</t>
  </si>
  <si>
    <t>RSA-T4-0230</t>
  </si>
  <si>
    <t>RSA-T4-0240</t>
  </si>
  <si>
    <t>RSA-T4-0250</t>
  </si>
  <si>
    <t>CL 94 KR 70 D</t>
  </si>
  <si>
    <t>CL 86 A KR 70 D</t>
  </si>
  <si>
    <t>74°04'58.0905"W</t>
  </si>
  <si>
    <t>74°05'03.7132"W</t>
  </si>
  <si>
    <t>74°05'04.8674"W</t>
  </si>
  <si>
    <t>74°05'06.4738"W</t>
  </si>
  <si>
    <t>RSA-T4-0260</t>
  </si>
  <si>
    <t>RSA-T4-0270</t>
  </si>
  <si>
    <t>RSA-T4-0280</t>
  </si>
  <si>
    <t>RSA-T4-0300</t>
  </si>
  <si>
    <t>RSA-T4-0320</t>
  </si>
  <si>
    <t>RSA-T4-0340</t>
  </si>
  <si>
    <t>Avenida Boyacá</t>
  </si>
  <si>
    <t>Avenida Boyacá CL 93</t>
  </si>
  <si>
    <t xml:space="preserve">Costado Sur Oriental de Makro de la
Avenida Boyacá </t>
  </si>
  <si>
    <t>DG 81 G BIS TV 72 C</t>
  </si>
  <si>
    <t>TV 72 A DG 81 I</t>
  </si>
  <si>
    <t>74°05'05.7959"W</t>
  </si>
  <si>
    <t>74°05'06.8217"W</t>
  </si>
  <si>
    <t xml:space="preserve">04°41'47.9927"N </t>
  </si>
  <si>
    <t xml:space="preserve">074°05'08.4513"W </t>
  </si>
  <si>
    <t>74°05'16.5928"W</t>
  </si>
  <si>
    <t>74°05'18.2124"W</t>
  </si>
  <si>
    <t xml:space="preserve">74°05'18.0831"W </t>
  </si>
  <si>
    <t>ACL 90 DG 90 A BIS</t>
  </si>
  <si>
    <t>KR 73 CL 90 A</t>
  </si>
  <si>
    <t>RSA-T4-0350</t>
  </si>
  <si>
    <t>RSA-T4-0360</t>
  </si>
  <si>
    <t>RSA-T4-0380</t>
  </si>
  <si>
    <t>RSA-T4-0400</t>
  </si>
  <si>
    <t>RSA-T4-0420</t>
  </si>
  <si>
    <t>74°05'17.33"W</t>
  </si>
  <si>
    <t xml:space="preserve">74°05'17.4847"W </t>
  </si>
  <si>
    <t>74°05'16.8365"W</t>
  </si>
  <si>
    <t>74°05'16.3327"W</t>
  </si>
  <si>
    <t>74°05'20.8603"W</t>
  </si>
  <si>
    <t>RSA-T4-0540</t>
  </si>
  <si>
    <t>74°05'35.9146"W</t>
  </si>
  <si>
    <t>RSA-T4-0560</t>
  </si>
  <si>
    <t>RSA-T4-0570</t>
  </si>
  <si>
    <t>KR 90 A CL 99</t>
  </si>
  <si>
    <t>AK 91 CL 98</t>
  </si>
  <si>
    <t>74°05'41.9094"W</t>
  </si>
  <si>
    <t>74°05'42.6109"W</t>
  </si>
  <si>
    <t>RSA-T4-0580</t>
  </si>
  <si>
    <t>RSA-T4-0600</t>
  </si>
  <si>
    <t>RSA-T4-0610</t>
  </si>
  <si>
    <t>AK 91 CL 99</t>
  </si>
  <si>
    <t>CL 97 KR 95</t>
  </si>
  <si>
    <t>74°05'41.7815"W</t>
  </si>
  <si>
    <t>74°05'52.8020"W</t>
  </si>
  <si>
    <t>74°05'59.8764"W</t>
  </si>
  <si>
    <t>RSA-T4-0620</t>
  </si>
  <si>
    <t>RSA-T4-0640</t>
  </si>
  <si>
    <t>RSA-T4-0650</t>
  </si>
  <si>
    <t>RSA-T4-0660</t>
  </si>
  <si>
    <t>KR 95 G CL 96</t>
  </si>
  <si>
    <t>AK 96 CL 96</t>
  </si>
  <si>
    <t>AK 104 CL 90</t>
  </si>
  <si>
    <t>AK 114 CL 90</t>
  </si>
  <si>
    <t>74°06'02.4135"W</t>
  </si>
  <si>
    <t>74°06'16.1937"W</t>
  </si>
  <si>
    <t>74°06'23.0183"W</t>
  </si>
  <si>
    <t>74°06'58.8930"W</t>
  </si>
  <si>
    <t>RSA-T4-0330</t>
  </si>
  <si>
    <t>COR-HCO-0300</t>
  </si>
  <si>
    <t>COR-HCO-0440</t>
  </si>
  <si>
    <t>COR-HCO-0540</t>
  </si>
  <si>
    <t>COR-HCO-0820</t>
  </si>
  <si>
    <t>COR-HCO-0860</t>
  </si>
  <si>
    <t>COR-HCO-0980</t>
  </si>
  <si>
    <t>CMO-HCO-0040</t>
  </si>
  <si>
    <t>CMO-HCO-0050</t>
  </si>
  <si>
    <t>CMO-HCO-0151</t>
  </si>
  <si>
    <t>CMO-HCO-0160</t>
  </si>
  <si>
    <t>CMO-HCO-0170</t>
  </si>
  <si>
    <t>CMO-HCO-0030</t>
  </si>
  <si>
    <t xml:space="preserve">CL 108B con KR 6 </t>
  </si>
  <si>
    <t>CMO-HCO-0210</t>
  </si>
  <si>
    <t xml:space="preserve">DG 108 A  con KR 9  </t>
  </si>
  <si>
    <t>CMO-HCO-0200</t>
  </si>
  <si>
    <t>CMO-HCO-0290</t>
  </si>
  <si>
    <t>CMO-HCO-0420</t>
  </si>
  <si>
    <t>CMO-HCO-0460</t>
  </si>
  <si>
    <t>CDN-CON- 0010</t>
  </si>
  <si>
    <t>CDN-CON- 0020</t>
  </si>
  <si>
    <t>04°43'54.95"N</t>
  </si>
  <si>
    <t>04°43'54.91"N</t>
  </si>
  <si>
    <t>CDN-CON- 0050</t>
  </si>
  <si>
    <t>KR 15 CL 150</t>
  </si>
  <si>
    <t>04°43'52.3909"N</t>
  </si>
  <si>
    <t>CDN-CON- 0060</t>
  </si>
  <si>
    <t>KR 15 CL 148</t>
  </si>
  <si>
    <t>04°43'48.82"N</t>
  </si>
  <si>
    <t>CDN-CON- 0120</t>
  </si>
  <si>
    <t>04°43'44.9064"N</t>
  </si>
  <si>
    <t>CDN-CON- 0130</t>
  </si>
  <si>
    <t>04°43'44.8942"N</t>
  </si>
  <si>
    <t>CDN-CON- 0170</t>
  </si>
  <si>
    <t>KR 15 CL 146</t>
  </si>
  <si>
    <t>04°43'41.24"N</t>
  </si>
  <si>
    <t>CDN-CON- 0190</t>
  </si>
  <si>
    <t>KR 15 CL 145 A</t>
  </si>
  <si>
    <t>04°43'38.26"N</t>
  </si>
  <si>
    <t>CDN-CON- 0210</t>
  </si>
  <si>
    <t>04°43'34.6786"N</t>
  </si>
  <si>
    <t>CDN-CON- 0220</t>
  </si>
  <si>
    <t>CL 13 Sur KR 6 Este</t>
  </si>
  <si>
    <t>RFU-T1-0280</t>
  </si>
  <si>
    <t>RFU-T1-0300</t>
  </si>
  <si>
    <t xml:space="preserve">CL 12 Sur KR 3 Este </t>
  </si>
  <si>
    <t>74°04’49.74"W</t>
  </si>
  <si>
    <t>RFU-T1-0310</t>
  </si>
  <si>
    <t>RFU-T1-0320</t>
  </si>
  <si>
    <t xml:space="preserve">KR 3 CL 11 Sur </t>
  </si>
  <si>
    <t>RFU-T1-0330</t>
  </si>
  <si>
    <t>RFU-T1-0340</t>
  </si>
  <si>
    <t>CL 14 Sur KR 6</t>
  </si>
  <si>
    <t>RFU-T2-0050</t>
  </si>
  <si>
    <t>RFU-T2-0060</t>
  </si>
  <si>
    <t>DG 13 Sur KR 8 A
 (Carrera 8A 13 Sur, Frente al CASD)</t>
  </si>
  <si>
    <t>DG 13 Sur KR 8 A
(Carrera 8A 13 Sur, Frente a Edificios)</t>
  </si>
  <si>
    <t>RFU-T2-0080</t>
  </si>
  <si>
    <t>KR 10 CL 11 Sur</t>
  </si>
  <si>
    <t>RFU-T2-0130</t>
  </si>
  <si>
    <t>RFU-T2-0140</t>
  </si>
  <si>
    <t>RFU-T2-0260</t>
  </si>
  <si>
    <t>RFU-T2-0310</t>
  </si>
  <si>
    <t>RFU-T2-0340</t>
  </si>
  <si>
    <t>RFU-T2-0530</t>
  </si>
  <si>
    <t>RFU-T2-0720</t>
  </si>
  <si>
    <t>RFU-T2-0790</t>
  </si>
  <si>
    <t>RFU-T2-0840</t>
  </si>
  <si>
    <t>RFU-T2-0860</t>
  </si>
  <si>
    <t>RFU-T2-0170</t>
  </si>
  <si>
    <t>RFU-T2-0200</t>
  </si>
  <si>
    <t>CL 13 Sur KR 11 B</t>
  </si>
  <si>
    <t>74°05'36.20" W</t>
  </si>
  <si>
    <t>74°05'44.31" W</t>
  </si>
  <si>
    <t>CL 12 B Sur KR 22 A</t>
  </si>
  <si>
    <t>RFU-T2-0270</t>
  </si>
  <si>
    <t>RFU-T2-0290</t>
  </si>
  <si>
    <t>CL 13 Sur KR 24 A</t>
  </si>
  <si>
    <t>Cl 13 Sur KR 24 A</t>
  </si>
  <si>
    <t xml:space="preserve">CL 12B Sur con KR 27 </t>
  </si>
  <si>
    <t>RFU-T2-0360</t>
  </si>
  <si>
    <t>RFU-T2-0420</t>
  </si>
  <si>
    <t>RFU-T2-0450</t>
  </si>
  <si>
    <t>RFU-T2-0480</t>
  </si>
  <si>
    <t>RFU-T2-0960</t>
  </si>
  <si>
    <t>RFU-T2-1020</t>
  </si>
  <si>
    <t>RFU-T2-1090</t>
  </si>
  <si>
    <t>RFU-T2-1100</t>
  </si>
  <si>
    <t>CAL-RFU-I</t>
  </si>
  <si>
    <t>74°06'49.09" W</t>
  </si>
  <si>
    <t>CAL-RFU-F
(RFU-T2-0640)</t>
  </si>
  <si>
    <t>RFU-T2-0690</t>
  </si>
  <si>
    <t>74°06'59.68" W</t>
  </si>
  <si>
    <t>DG 16 KR 41 C</t>
  </si>
  <si>
    <t>RFU-T2-0730</t>
  </si>
  <si>
    <t>RFU-T2-0750</t>
  </si>
  <si>
    <t>RFU-T2-0760</t>
  </si>
  <si>
    <t>RFU-T2-0770</t>
  </si>
  <si>
    <t>DG 16 KR 43</t>
  </si>
  <si>
    <t>74°07'05.94" W</t>
  </si>
  <si>
    <t>CRS-RFU-F
(RFU-T2-0820)</t>
  </si>
  <si>
    <t>RFU-T2-0810</t>
  </si>
  <si>
    <t>RFU-T2-0830</t>
  </si>
  <si>
    <t>RFU-T2-0870</t>
  </si>
  <si>
    <t>RFU-T2-0930</t>
  </si>
  <si>
    <t>DG 17 Sur KR 50 (TV 53)</t>
  </si>
  <si>
    <t>04°36'42.77"N</t>
  </si>
  <si>
    <t>RFU-T2-0980</t>
  </si>
  <si>
    <t>RFU-T2-1010</t>
  </si>
  <si>
    <t xml:space="preserve">RFU-T2-0970 </t>
  </si>
  <si>
    <t>DG 17 TV 50</t>
  </si>
  <si>
    <t xml:space="preserve">  04°36' 42.72" N</t>
  </si>
  <si>
    <t xml:space="preserve">  04°36'44.01"N</t>
  </si>
  <si>
    <t>DG 19 Sur TV 53 A</t>
  </si>
  <si>
    <t>RFU-T2-1030</t>
  </si>
  <si>
    <t>RFU-T2-1040</t>
  </si>
  <si>
    <t>RFU-T2-1060</t>
  </si>
  <si>
    <t>DG 17 TV 53 B</t>
  </si>
  <si>
    <t>DG 19 Sur TV 54 A</t>
  </si>
  <si>
    <t>DG 17 TV 55</t>
  </si>
  <si>
    <t>DG 12 Sur TV 57</t>
  </si>
  <si>
    <t>RFU-T2-1120</t>
  </si>
  <si>
    <t>RFU-T2-1140</t>
  </si>
  <si>
    <t>RFU-T2-1160</t>
  </si>
  <si>
    <t>RFU-T2-1170</t>
  </si>
  <si>
    <t>RFU-T2-1180</t>
  </si>
  <si>
    <t>RFU-T2-1190</t>
  </si>
  <si>
    <t>RFU-T2-1200</t>
  </si>
  <si>
    <t>RFU-T2-1210</t>
  </si>
  <si>
    <t>RFU-T2-1220</t>
  </si>
  <si>
    <t>RFU-T2-1230</t>
  </si>
  <si>
    <t>CL 1 C TV 64 A</t>
  </si>
  <si>
    <t>CL 1 KR 68</t>
  </si>
  <si>
    <t>KR 68 A CL 2</t>
  </si>
  <si>
    <t>TV 68 C DG 2 B</t>
  </si>
  <si>
    <t>KR 68 A CL 2 B</t>
  </si>
  <si>
    <t>KR  68 A CL 3</t>
  </si>
  <si>
    <t>Inicio Canal Albina 
CL 28 Sur No. 12 D - 32</t>
  </si>
  <si>
    <t>CAL-RFU-0010</t>
  </si>
  <si>
    <t>CAL-RFU-0020</t>
  </si>
  <si>
    <t>CAL-RFU-0090</t>
  </si>
  <si>
    <t>CAL-RFU-0130</t>
  </si>
  <si>
    <t>CAL-RFU-0140</t>
  </si>
  <si>
    <t>CAL-RFU-0150</t>
  </si>
  <si>
    <t>CAL-RFU-0160</t>
  </si>
  <si>
    <t>CAL-RFU-0170</t>
  </si>
  <si>
    <t>CAL-RFU-0180</t>
  </si>
  <si>
    <t>CL 28 Sur No. 12 D - 42</t>
  </si>
  <si>
    <t>AK 14 (Av. Caracas) CL 31 Sur</t>
  </si>
  <si>
    <t>CL 31 Sur KR 20</t>
  </si>
  <si>
    <t>CL 31 Sur KR 21 B</t>
  </si>
  <si>
    <t>CL 31 Sur KR 23 A</t>
  </si>
  <si>
    <t>CAL-RFU-0200</t>
  </si>
  <si>
    <t>CAL-RFU-0208</t>
  </si>
  <si>
    <t>CAL-RFU-0210</t>
  </si>
  <si>
    <t>CAL-RFU-0215</t>
  </si>
  <si>
    <t>CAL-RFU-0220</t>
  </si>
  <si>
    <t>CAL-RFU-0230</t>
  </si>
  <si>
    <t>CAL-RFU-0260</t>
  </si>
  <si>
    <t>CAL-RFU-0270</t>
  </si>
  <si>
    <t>AK 24 DG 31 Sur</t>
  </si>
  <si>
    <t>DG 31 Sur KR 24 B</t>
  </si>
  <si>
    <t>DG 31 Sur KR 25</t>
  </si>
  <si>
    <t>DG 31 Sur KR 28 A</t>
  </si>
  <si>
    <t>CL 31 Sur KR 27</t>
  </si>
  <si>
    <t>CL 30 Sur KR 30</t>
  </si>
  <si>
    <t>Calle 3 con Tv 68Bis
CANAL COMUNEROS</t>
  </si>
  <si>
    <t>Canal Comuneros</t>
  </si>
  <si>
    <t>RFU-T3-0010</t>
  </si>
  <si>
    <t>RFU-T3-0020</t>
  </si>
  <si>
    <t>RFU-T3-0050</t>
  </si>
  <si>
    <t>KR 68 B BIS CL 4</t>
  </si>
  <si>
    <t>KR 68 B BIS DG 5 BIS</t>
  </si>
  <si>
    <t>KR 68 B BIS CL 5 A</t>
  </si>
  <si>
    <t>RFU-T3-0080</t>
  </si>
  <si>
    <t>Costado oriental, debajo del puente de la Avenida Las Américas con KR 68 B BIS</t>
  </si>
  <si>
    <t>RFU-T3-0100</t>
  </si>
  <si>
    <t>RFU-T3-0130</t>
  </si>
  <si>
    <t>RFU-T3-0140</t>
  </si>
  <si>
    <t>RFU-T3-0150</t>
  </si>
  <si>
    <t>RFU-T3-0160</t>
  </si>
  <si>
    <t>RFU-T3-0170</t>
  </si>
  <si>
    <t>RFU-T3-0180</t>
  </si>
  <si>
    <t>RFU-T3-0190</t>
  </si>
  <si>
    <t>RFU-T3-0200</t>
  </si>
  <si>
    <t>RFU-T3-0220</t>
  </si>
  <si>
    <t>KR 68 D CL 8B</t>
  </si>
  <si>
    <t>KR 68 D CL 9C</t>
  </si>
  <si>
    <t>KR 68 G CL 9 A</t>
  </si>
  <si>
    <t>KR 68 G CL 9 C BIS</t>
  </si>
  <si>
    <t>KR 68 D CL 10 A</t>
  </si>
  <si>
    <t>RFU-T3-0240</t>
  </si>
  <si>
    <t>KR 68 G CL 10 A</t>
  </si>
  <si>
    <t>RFU-T3-0260</t>
  </si>
  <si>
    <t>KR 68 G No. 9 C - 97 (Costado norte del conjunto residencial Villa Verónica)</t>
  </si>
  <si>
    <t>RFU-T3-0270</t>
  </si>
  <si>
    <t>RFU-T3-0360</t>
  </si>
  <si>
    <t>KR 68 D CL 11 A</t>
  </si>
  <si>
    <t xml:space="preserve">AV CL 13 KR 68 D </t>
  </si>
  <si>
    <t>RFU-T3-0380</t>
  </si>
  <si>
    <t>RFU-T3-0400</t>
  </si>
  <si>
    <t>RFU-T3-0410</t>
  </si>
  <si>
    <t>RFU-T3-0430</t>
  </si>
  <si>
    <t>AV CL 13 68 D</t>
  </si>
  <si>
    <t>AV CL 13 KR 69 B</t>
  </si>
  <si>
    <t>CL 12 B  KR 69 B</t>
  </si>
  <si>
    <t>RFU-T3-0120</t>
  </si>
  <si>
    <t>74°07'34.64"W</t>
  </si>
  <si>
    <t>RFU-T4-0020</t>
  </si>
  <si>
    <t>RFU-T4-0030</t>
  </si>
  <si>
    <t>RFU-T4-0050</t>
  </si>
  <si>
    <t>RFU-T4-0100</t>
  </si>
  <si>
    <t>RFU-T4-0051</t>
  </si>
  <si>
    <t>RFU-T4-0070</t>
  </si>
  <si>
    <t>RFU-T4-0060</t>
  </si>
  <si>
    <t>RFU-T4-0080</t>
  </si>
  <si>
    <t>RFU-T4-0090</t>
  </si>
  <si>
    <t>RFU-T4-0092</t>
  </si>
  <si>
    <t>AV CL13 AV KR 72 (Av. Boyacá)</t>
  </si>
  <si>
    <t>AV CL 13 AV KR 72 (Av. Boyacá)</t>
  </si>
  <si>
    <t>CL 14 B TV 73</t>
  </si>
  <si>
    <t>CL 15 KR 75</t>
  </si>
  <si>
    <t>CL 14 B con KR 78 B.</t>
  </si>
  <si>
    <t>CL 14 B con KR 78 D.</t>
  </si>
  <si>
    <t>KR 79 A con río Fucha</t>
  </si>
  <si>
    <t>CL 17 KR 75</t>
  </si>
  <si>
    <t>CL 17 KR 78 G</t>
  </si>
  <si>
    <t>RFU-T4-0110</t>
  </si>
  <si>
    <t>RFU-T4-0120</t>
  </si>
  <si>
    <t>Avenida Agoberto Mejía Cifuentes, Av KR 80 CL 16 C</t>
  </si>
  <si>
    <t>CL 17 AV KR 80 (Av. Agoberto Mejía)</t>
  </si>
  <si>
    <t>RFU-T4-0130</t>
  </si>
  <si>
    <t>RFU-T4-0135</t>
  </si>
  <si>
    <t>CSF-RFU-F
(RFU-T4-0140)</t>
  </si>
  <si>
    <t>RFU-T4-0180</t>
  </si>
  <si>
    <t>RFU-T4-0170</t>
  </si>
  <si>
    <t>RFU-T4-0190</t>
  </si>
  <si>
    <t>RFU-T4-0200</t>
  </si>
  <si>
    <t>RFU-T4-0210</t>
  </si>
  <si>
    <t>RFU-T4-0220</t>
  </si>
  <si>
    <t>RFU-T4-0260</t>
  </si>
  <si>
    <t xml:space="preserve"> 04°39'33.90"N</t>
  </si>
  <si>
    <t xml:space="preserve">  04°39'42.79"N</t>
  </si>
  <si>
    <t>CL 17 AV KR 80 (Av. Agoberto Mejía). Estación Elevadora La Felicidad.</t>
  </si>
  <si>
    <t>CL 17 KR 80 D</t>
  </si>
  <si>
    <t>AV CL 17 KR 82</t>
  </si>
  <si>
    <t>CL 17 KR 81 B</t>
  </si>
  <si>
    <t>AV KR 86 (Av. Ciudad de Cali) CL 16 C</t>
  </si>
  <si>
    <t>CL 17 AV KR 86 (Av. Ciudad de Cali)</t>
  </si>
  <si>
    <t>AV KR 86 (Av. Ciudad de Cali) CL16 C</t>
  </si>
  <si>
    <t>DG 13 B KR 104 A</t>
  </si>
  <si>
    <t>RFU-T4-0290</t>
  </si>
  <si>
    <t>KR 4 A con CL 136 Sur Usme</t>
  </si>
  <si>
    <t>74°07'43.76"W</t>
  </si>
  <si>
    <t>CL 138 A Sur No 14 -58</t>
  </si>
  <si>
    <t>74°07'41.71"W</t>
  </si>
  <si>
    <t>RTU-T1-0030</t>
  </si>
  <si>
    <t>RTU-T1-0060</t>
  </si>
  <si>
    <t>RTU-T1-0040</t>
  </si>
  <si>
    <t>74°07'39.22"W</t>
  </si>
  <si>
    <t>KR 4 con CL 136 A Sur</t>
  </si>
  <si>
    <t>RTU-T1-0070</t>
  </si>
  <si>
    <t>RTU-T1-0080</t>
  </si>
  <si>
    <t>QTA-RTU-F
(RTU-T1-0090)</t>
  </si>
  <si>
    <t>KR 4 entre CL 136 A Sur y CL 137 Sur</t>
  </si>
  <si>
    <t>CL 136A Sur</t>
  </si>
  <si>
    <t>CL 134 Sur con KR 4</t>
  </si>
  <si>
    <t>74°07'33.88"W</t>
  </si>
  <si>
    <t>74°07'29.18"W</t>
  </si>
  <si>
    <t>RTU-T1-0100</t>
  </si>
  <si>
    <t>RTU-T1-0115</t>
  </si>
  <si>
    <t>74°07'24.89"W</t>
  </si>
  <si>
    <t>CL131 SUR con KR4</t>
  </si>
  <si>
    <t>KR 14 J 130 81 SUR</t>
  </si>
  <si>
    <t>QFU-RTU-F
(RTU-T1-0160)</t>
  </si>
  <si>
    <t>QPI-RTU-F
(RTU-T1-0170)</t>
  </si>
  <si>
    <t>Quebrada Fucha - Sin dirección cercana.</t>
  </si>
  <si>
    <t>Quebrada El Piojo - Sin dirección cercana.</t>
  </si>
  <si>
    <t>RTU-T1-0180</t>
  </si>
  <si>
    <t>74°07’11.76"W</t>
  </si>
  <si>
    <t>74°07’16.68"W</t>
  </si>
  <si>
    <t>RTU-T1-0210</t>
  </si>
  <si>
    <t>Ubicado CL 103 A Sur con KR 4</t>
  </si>
  <si>
    <t>RTU-T1-0230</t>
  </si>
  <si>
    <t>KR 5 con CL 100 C Sur</t>
  </si>
  <si>
    <t>74°07'18.70"W</t>
  </si>
  <si>
    <t>QCH-RTU-F
(RTU-T1-0220)</t>
  </si>
  <si>
    <t>04°29' 50.386"N</t>
  </si>
  <si>
    <t>QYO-RTU-F
(RTU-T2-0010)</t>
  </si>
  <si>
    <t>74°07'36.72''W</t>
  </si>
  <si>
    <t>RTU-T2-0030</t>
  </si>
  <si>
    <t>Canal que parte del costado Sur de la CL 73 Sur debajo de la Avenida Boyacá</t>
  </si>
  <si>
    <t>74°07'31.61"W</t>
  </si>
  <si>
    <t>RTU-T2-0070</t>
  </si>
  <si>
    <t>QHR-RTU-F
(RTU-T3-0010)</t>
  </si>
  <si>
    <t>04°32' 05.910"N</t>
  </si>
  <si>
    <t>QUEBRADA HOYA DEL RAMO</t>
  </si>
  <si>
    <t>RTU-T3-0045</t>
  </si>
  <si>
    <t>74°08'02.47"W</t>
  </si>
  <si>
    <t>74°07'58.70"W</t>
  </si>
  <si>
    <t>RTU-T3-0090</t>
  </si>
  <si>
    <t>RTU-T3-0100</t>
  </si>
  <si>
    <t>RTU-T3-0130</t>
  </si>
  <si>
    <t>RTU-T3-0140</t>
  </si>
  <si>
    <t>RTU-T3-0150</t>
  </si>
  <si>
    <t>RTU-T3-0170</t>
  </si>
  <si>
    <t>RTU-T3-0180</t>
  </si>
  <si>
    <t>RTU-T3-0185</t>
  </si>
  <si>
    <t>QLI-RTU-F
(RTU-T3-0210)</t>
  </si>
  <si>
    <t>74°08'19.30"W</t>
  </si>
  <si>
    <t>74°08'21.05"W</t>
  </si>
  <si>
    <t>74°08'25.50"W</t>
  </si>
  <si>
    <t>74°08'29.96"W</t>
  </si>
  <si>
    <t>74°08'26.09"W</t>
  </si>
  <si>
    <t>74°08'31.74"W</t>
  </si>
  <si>
    <t>74°08'26.99"W</t>
  </si>
  <si>
    <t>74°08'51.83"W</t>
  </si>
  <si>
    <t>Tras antiguo autolavado que se ubicado en la salida de buses del Portal Tunal.</t>
  </si>
  <si>
    <t>CL 59 Sur con KR 22 antes de curva hacia la Izquierda</t>
  </si>
  <si>
    <t>Detrás del Portal Tunal</t>
  </si>
  <si>
    <t>CL 58 Sur con KR 22</t>
  </si>
  <si>
    <t>Av. Boyacá con KR 25</t>
  </si>
  <si>
    <t>Av. Boyacá con KR 27
Borde sur der la cancha deportiva.</t>
  </si>
  <si>
    <t xml:space="preserve">04°34'46.484"N </t>
  </si>
  <si>
    <t xml:space="preserve">KR 48A CL 58 SUR </t>
  </si>
  <si>
    <t xml:space="preserve">CL 58 SUR KR 47  </t>
  </si>
  <si>
    <t>RTU-T4-0010</t>
  </si>
  <si>
    <t>RTU-T4-0120</t>
  </si>
  <si>
    <t>RTU-T4-0121</t>
  </si>
  <si>
    <t>RTU-T4-0150</t>
  </si>
  <si>
    <t>RTU-T4-0180</t>
  </si>
  <si>
    <t>RTU-T4-0190</t>
  </si>
  <si>
    <t>RTU-T4-0200</t>
  </si>
  <si>
    <t>RTU-T4-0210</t>
  </si>
  <si>
    <t>RTU-T4-0220</t>
  </si>
  <si>
    <t>74°09'05.85"W</t>
  </si>
  <si>
    <t>Detrás de la Autopista Sur con KR 62</t>
  </si>
  <si>
    <t>CL 49 Sur con TV 72 D a 30 metros aproximadamente aguas arriba puente en madera.</t>
  </si>
  <si>
    <t>CL 48 Sur con KR 72 P.</t>
  </si>
  <si>
    <t>CL 48 Sur con KR 72 R Bis.</t>
  </si>
  <si>
    <t>KR 68 en Parque Villa del Rio, a orilla del Meandro</t>
  </si>
  <si>
    <t>CL 45 Sur con KR 72 V.</t>
  </si>
  <si>
    <t>CL 45 Sur con KR 73</t>
  </si>
  <si>
    <t>RTU-T4-0070</t>
  </si>
  <si>
    <t>Punto Antes de la AV Villavicencio</t>
  </si>
  <si>
    <t>RTU-T4-0230 </t>
  </si>
  <si>
    <t>RTU-T4-0260 </t>
  </si>
  <si>
    <t>RTU-T4-0250 </t>
  </si>
  <si>
    <t>RTU-T4-0270 </t>
  </si>
  <si>
    <t>RTU-T4-0280 </t>
  </si>
  <si>
    <t>RTU-T4-0300</t>
  </si>
  <si>
    <t>RTU-T4-0330</t>
  </si>
  <si>
    <t>RTU-T4-0340</t>
  </si>
  <si>
    <t>RTU-T4-0341</t>
  </si>
  <si>
    <t>RTU-T4-0320</t>
  </si>
  <si>
    <t>RTU-T4-0380</t>
  </si>
  <si>
    <t>RTU-T4-0400</t>
  </si>
  <si>
    <t>KR 77J con CL 48B Sur.</t>
  </si>
  <si>
    <t>KR 73 con CL 54B Sur</t>
  </si>
  <si>
    <t>KR 77 G BIS CL 50 Sur</t>
  </si>
  <si>
    <t>KR 77G BIS CL 51A SUR</t>
  </si>
  <si>
    <t>KR 77G con CL 51A SUR</t>
  </si>
  <si>
    <t>74°09'44.91"W</t>
  </si>
  <si>
    <t>74°09’57.70"W</t>
  </si>
  <si>
    <t>74°09'58.59"W</t>
  </si>
  <si>
    <t>74°10'00.08"W</t>
  </si>
  <si>
    <t>74°10'00.40"W</t>
  </si>
  <si>
    <t>74°10'03.46"W</t>
  </si>
  <si>
    <t>74°10'06.66"W</t>
  </si>
  <si>
    <t>74°10'08.58"W</t>
  </si>
  <si>
    <t>RTU-T4-0420</t>
  </si>
  <si>
    <t>RTU-T4-0440</t>
  </si>
  <si>
    <t>RTU-T4-0450</t>
  </si>
  <si>
    <t>RTU-T4-0460</t>
  </si>
  <si>
    <t>RTU-T4-0470</t>
  </si>
  <si>
    <t>RTU-T4-0500</t>
  </si>
  <si>
    <t>RTU-T4-0520</t>
  </si>
  <si>
    <t>RTU-T4-0540</t>
  </si>
  <si>
    <t>RTU-T4-0570</t>
  </si>
  <si>
    <t>RTU-T4-0580</t>
  </si>
  <si>
    <t>RTU-T4-0600</t>
  </si>
  <si>
    <t>RTU-T4-0610</t>
  </si>
  <si>
    <t>74°10'09.24"W</t>
  </si>
  <si>
    <t>04°36'12.23"N</t>
  </si>
  <si>
    <t>74°10'11.79"W</t>
  </si>
  <si>
    <t xml:space="preserve"> 74°10'34.52"W</t>
  </si>
  <si>
    <t>CL 78I BIS con KR 78 BIS B</t>
  </si>
  <si>
    <t xml:space="preserve">KR 78 F CL 58 D  Sur </t>
  </si>
  <si>
    <t>RTU-T4-0110</t>
  </si>
  <si>
    <t>INTERCEPTOR TUNJUELO MEDIO 
KR 73 con CL 53 C Sur</t>
  </si>
  <si>
    <t>CL 56 Sur con KR 73 B Bis</t>
  </si>
  <si>
    <t>RTU-T4-0620</t>
  </si>
  <si>
    <t>RTU-T4-0640</t>
  </si>
  <si>
    <t>CL 58B I Sur con KR 78 C Bis S</t>
  </si>
  <si>
    <t>74°10'34.97"W</t>
  </si>
  <si>
    <t>CL 58G SUR con KR 78</t>
  </si>
  <si>
    <t>RTU-T4-0670</t>
  </si>
  <si>
    <t>RTU-T4-0680</t>
  </si>
  <si>
    <t>RTU-T4-0690</t>
  </si>
  <si>
    <t>RTU-T4-1030</t>
  </si>
  <si>
    <t>RTU-T4-1050</t>
  </si>
  <si>
    <t>RTU-T4-1051</t>
  </si>
  <si>
    <t>RTU-T4-1040</t>
  </si>
  <si>
    <t>RTU-T4-0950</t>
  </si>
  <si>
    <t>RTU-T4-0930</t>
  </si>
  <si>
    <t>RTU-T4-0700</t>
  </si>
  <si>
    <t>RTU-T4-0960</t>
  </si>
  <si>
    <t xml:space="preserve">KR 80 C CL 59  Sur  </t>
  </si>
  <si>
    <t>RTU-T4-0840</t>
  </si>
  <si>
    <t>RTU-T4-0820</t>
  </si>
  <si>
    <t>RTU-T4-0860</t>
  </si>
  <si>
    <t>RTU-T4-0861</t>
  </si>
  <si>
    <t>RTU-T4-0880</t>
  </si>
  <si>
    <t>74°10'41.27"W</t>
  </si>
  <si>
    <t xml:space="preserve"> 74°10'41.40"W</t>
  </si>
  <si>
    <t>74°10'47.05"W</t>
  </si>
  <si>
    <t>KR 80 con CL 58C SUR</t>
  </si>
  <si>
    <t>KR 79H con CL58 SUR</t>
  </si>
  <si>
    <t>AK 80 (S-N) con CL 58 SUR</t>
  </si>
  <si>
    <t xml:space="preserve">Parque Clarelandia Cancha de Futbol.
KR 80 B con CL 58C Sur </t>
  </si>
  <si>
    <t>74°10'46.76"W</t>
  </si>
  <si>
    <t>CL 58 Sur KR 80D</t>
  </si>
  <si>
    <t>74°10'48.35"W</t>
  </si>
  <si>
    <t>CL 58 Sur KR 80H</t>
  </si>
  <si>
    <t>RTU-T4-0970</t>
  </si>
  <si>
    <t>RTU-T4-0980</t>
  </si>
  <si>
    <t>RTU-T4-1000</t>
  </si>
  <si>
    <t>RTU-T4-1010</t>
  </si>
  <si>
    <t xml:space="preserve"> 74°10'51.04"W</t>
  </si>
  <si>
    <t xml:space="preserve"> 74°10'52.65"W</t>
  </si>
  <si>
    <t xml:space="preserve"> 74°10'52.70"W</t>
  </si>
  <si>
    <t>04°36'46.05"N</t>
  </si>
  <si>
    <t>74°10'50.7"W</t>
  </si>
  <si>
    <t>CL 58C Sur KR 80H</t>
  </si>
  <si>
    <t>CL58A SUR KR 81</t>
  </si>
  <si>
    <t>KR 80I CL 58 C Sur</t>
  </si>
  <si>
    <t>74°10'59.08"W</t>
  </si>
  <si>
    <t xml:space="preserve">KR 78 M CL 58 I Sur  </t>
  </si>
  <si>
    <t>CL 60 Sur  con KR 20 Bosa</t>
  </si>
  <si>
    <t>CL 74 Sur KR 86
Estación de Bombeo Gran Colombiano</t>
  </si>
  <si>
    <t xml:space="preserve">CL 74 Sur KR 86A
Estación de Bombeo Cartagenita </t>
  </si>
  <si>
    <t xml:space="preserve">TV 80 I con CL 94 A Sur
Estación elevadora La Isla </t>
  </si>
  <si>
    <t>CON-CLJ-I</t>
  </si>
  <si>
    <t>KR 10 CL 134</t>
  </si>
  <si>
    <t>CON-CLJ-0030</t>
  </si>
  <si>
    <t>KR 11 B CL 134</t>
  </si>
  <si>
    <t>CDN-CON-F
(CON-CLJ-0060)</t>
  </si>
  <si>
    <t>CON-CLJ-0080</t>
  </si>
  <si>
    <t>04°42'59.0621"N</t>
  </si>
  <si>
    <t>CJL-HCO-0010</t>
  </si>
  <si>
    <t>CJL-HCO-0020</t>
  </si>
  <si>
    <t>CJL-HCO-0040</t>
  </si>
  <si>
    <t>CJL-HCO-0050</t>
  </si>
  <si>
    <t>CJL-HCO-0060</t>
  </si>
  <si>
    <t>CJL-HCO-0150</t>
  </si>
  <si>
    <t>CJL-HCO-0230</t>
  </si>
  <si>
    <t>CJL-HCO-0310</t>
  </si>
  <si>
    <t>CJL-HCO-0330</t>
  </si>
  <si>
    <t>CJL-HCO-0380</t>
  </si>
  <si>
    <t>Canal Callejas</t>
  </si>
  <si>
    <t>04°42'10.36"N</t>
  </si>
  <si>
    <t>04°42'07.88"N</t>
  </si>
  <si>
    <t>04°42'07.80"N</t>
  </si>
  <si>
    <t>04°42'07.50"N</t>
  </si>
  <si>
    <t>04°42'07.51"N</t>
  </si>
  <si>
    <t>04°42'15.28"N</t>
  </si>
  <si>
    <t>04°42'14.36"N</t>
  </si>
  <si>
    <t>04°42'15.0955"N</t>
  </si>
  <si>
    <t>04°42'15.7243"N</t>
  </si>
  <si>
    <t>TV 5 C 127-60</t>
  </si>
  <si>
    <t>TV 5 C No. 127 - 02</t>
  </si>
  <si>
    <t>AC 127 AK 7</t>
  </si>
  <si>
    <t>AC 127 KR 9</t>
  </si>
  <si>
    <t>AC 127 KR 11C</t>
  </si>
  <si>
    <t>AC 127 KR 14</t>
  </si>
  <si>
    <t>AC 127 No. 15 - 36</t>
  </si>
  <si>
    <t>AC 127 KR 16</t>
  </si>
  <si>
    <t>KR 15 CL 134</t>
  </si>
  <si>
    <t>AC 134 KR 19</t>
  </si>
  <si>
    <t>CON-CLJ-0090</t>
  </si>
  <si>
    <t>CON-CLJ-0100</t>
  </si>
  <si>
    <t>CON-CLJ-0130</t>
  </si>
  <si>
    <t>CON-CLJ-0150</t>
  </si>
  <si>
    <t>CON-CLJ-0160</t>
  </si>
  <si>
    <t>CON-CLJ-0180</t>
  </si>
  <si>
    <t>CON-CLJ-0190</t>
  </si>
  <si>
    <t>CON-CLJ-0200</t>
  </si>
  <si>
    <t>CON-CLJ-0210</t>
  </si>
  <si>
    <t>CON-CLJ-0220</t>
  </si>
  <si>
    <t>CON-CLJ-0230</t>
  </si>
  <si>
    <t>CON-CLJ-0260</t>
  </si>
  <si>
    <t>CON-CLJ-0280</t>
  </si>
  <si>
    <t>04°42'59.92"N</t>
  </si>
  <si>
    <t>04°42'55.07"N</t>
  </si>
  <si>
    <t>04°42'54.65"N</t>
  </si>
  <si>
    <t>04°42'48.5112"N</t>
  </si>
  <si>
    <t>04°42'46.0547"N</t>
  </si>
  <si>
    <t>04°42'45.8429"N</t>
  </si>
  <si>
    <t>04°42'43.7320"N</t>
  </si>
  <si>
    <t>04°42'38.9725"N</t>
  </si>
  <si>
    <t>04°42'34.58"N</t>
  </si>
  <si>
    <t>04°42'26.8892"N</t>
  </si>
  <si>
    <t>AK 19 CL 133</t>
  </si>
  <si>
    <t>AK 19 CL 131 A</t>
  </si>
  <si>
    <t xml:space="preserve"> AK 19 No. 128 B - 66</t>
  </si>
  <si>
    <t>AK 19 CL 128 B</t>
  </si>
  <si>
    <t>AK 19 CL 128 A</t>
  </si>
  <si>
    <t>AK 19 CL 128</t>
  </si>
  <si>
    <t>AK 19 CL 127 D</t>
  </si>
  <si>
    <t>AK 19 No. 127 B -69</t>
  </si>
  <si>
    <t>AK 19 CL 127 A</t>
  </si>
  <si>
    <t>COR-HCO-I</t>
  </si>
  <si>
    <t>COR-HCO-0001</t>
  </si>
  <si>
    <t>COR-HCO-0700</t>
  </si>
  <si>
    <t>COR-HCO-0120</t>
  </si>
  <si>
    <t>COR-HCO-0150</t>
  </si>
  <si>
    <t>COR-HCO-0210</t>
  </si>
  <si>
    <t>COR-HCO-0270</t>
  </si>
  <si>
    <t>COR-HCO-0280</t>
  </si>
  <si>
    <t>COR-HCO-0290</t>
  </si>
  <si>
    <t>04°45'09.2700"N</t>
  </si>
  <si>
    <t>04°45'09.30"N</t>
  </si>
  <si>
    <t>04°45'03.0136"N</t>
  </si>
  <si>
    <t>04°44'57.2877"N</t>
  </si>
  <si>
    <t>04°44'56.1442"N</t>
  </si>
  <si>
    <t>04°44'51.8010"N</t>
  </si>
  <si>
    <t>04°44'45.8528"N</t>
  </si>
  <si>
    <t>04°44'39.4256"N</t>
  </si>
  <si>
    <t>AC 170 KR 54</t>
  </si>
  <si>
    <t>CL 168 A KR 54</t>
  </si>
  <si>
    <t>CL 167 KR 54</t>
  </si>
  <si>
    <t>CL165 A KR 54</t>
  </si>
  <si>
    <t>CL 163 B KR 54</t>
  </si>
  <si>
    <t>CL 163 KR 54</t>
  </si>
  <si>
    <t>CL 162 KR 54</t>
  </si>
  <si>
    <t>04°44'33.3215"N</t>
  </si>
  <si>
    <t>COR-HCO-0310</t>
  </si>
  <si>
    <t>COR-HCO-0320</t>
  </si>
  <si>
    <t>COR-HCO-0350</t>
  </si>
  <si>
    <t>COR-HCO-0360</t>
  </si>
  <si>
    <t>COR-HCO-0370</t>
  </si>
  <si>
    <t>COR-HCO-0410</t>
  </si>
  <si>
    <t>COR-HCO-0420</t>
  </si>
  <si>
    <t>04°44'25.5141"N</t>
  </si>
  <si>
    <t>04°44'23.4774"N</t>
  </si>
  <si>
    <t>04°44'21.1027"N</t>
  </si>
  <si>
    <t>04°44'19.6543"N</t>
  </si>
  <si>
    <t>04°44'19.2728"N</t>
  </si>
  <si>
    <t>04°44'14.6734"N</t>
  </si>
  <si>
    <t>CL 159 KR 54</t>
  </si>
  <si>
    <t>CL 154 KR 54</t>
  </si>
  <si>
    <t>AC 153 KR 54</t>
  </si>
  <si>
    <t>CL 152 A KR 54</t>
  </si>
  <si>
    <t>CL 152 KR 54</t>
  </si>
  <si>
    <t>04°44'08.0301"N</t>
  </si>
  <si>
    <t>COR-HCO-0450</t>
  </si>
  <si>
    <t>COR-HCO-0490</t>
  </si>
  <si>
    <t>04°44'07.3708"N</t>
  </si>
  <si>
    <t>04°44'03.0122"N</t>
  </si>
  <si>
    <t>CL 152  KR 54</t>
  </si>
  <si>
    <t>CL 151 KR 54</t>
  </si>
  <si>
    <t>COR-HCO-0570</t>
  </si>
  <si>
    <t>COR-HCO-0590</t>
  </si>
  <si>
    <t>COR-HCO-0610</t>
  </si>
  <si>
    <t>COR-HCO-0650</t>
  </si>
  <si>
    <t>COR-HCO-0690</t>
  </si>
  <si>
    <t>COR-HCO-0810</t>
  </si>
  <si>
    <t>04°43'54.0738"N</t>
  </si>
  <si>
    <t>04°43'47.5940"N</t>
  </si>
  <si>
    <t>04°43'32.0771"N</t>
  </si>
  <si>
    <t>CL 149 KR 54</t>
  </si>
  <si>
    <t>CL 147 A con KR 54</t>
  </si>
  <si>
    <t>CL 146 A con KR 54</t>
  </si>
  <si>
    <t>CL 145 C con KR 54</t>
  </si>
  <si>
    <t>CL 144 A KR 54</t>
  </si>
  <si>
    <t>CL 144 KR 54</t>
  </si>
  <si>
    <t>CL 138 KR 54</t>
  </si>
  <si>
    <t>COR-HCO-0830</t>
  </si>
  <si>
    <t>04°43'31.7505"N</t>
  </si>
  <si>
    <t>04°43'31.2014"N</t>
  </si>
  <si>
    <t>04°43'28.2063"N</t>
  </si>
  <si>
    <t>COR-HCO-0930</t>
  </si>
  <si>
    <t>COR-HCO-0970</t>
  </si>
  <si>
    <t>CL 134 D KR 54</t>
  </si>
  <si>
    <t>CL 134 KR 54</t>
  </si>
  <si>
    <t>04°43'15.8612"N</t>
  </si>
  <si>
    <t>04°43'15.6160"N</t>
  </si>
  <si>
    <t>COR-HCO-0990</t>
  </si>
  <si>
    <t>COR-HCO-1000</t>
  </si>
  <si>
    <t>COR-HCO-1080</t>
  </si>
  <si>
    <t>COR-HCO-1110</t>
  </si>
  <si>
    <t>COR-HCO-1120</t>
  </si>
  <si>
    <t>COR-HCO-F</t>
  </si>
  <si>
    <t>CL 131 B KR 54</t>
  </si>
  <si>
    <t>CL 131 A KR 54</t>
  </si>
  <si>
    <t>CL 129 A KR 54</t>
  </si>
  <si>
    <t>CL 128 C KR 54</t>
  </si>
  <si>
    <t>CL 128 KR 54</t>
  </si>
  <si>
    <t>KR 55 B CL 127 D</t>
  </si>
  <si>
    <t>04°43'01.8056"N</t>
  </si>
  <si>
    <t>04°42'56.5912"N</t>
  </si>
  <si>
    <t>04°42'48.3010"N</t>
  </si>
  <si>
    <t>CDN-CON-0330</t>
  </si>
  <si>
    <t>CDN-CON-0230</t>
  </si>
  <si>
    <t>CDN-CON-0240</t>
  </si>
  <si>
    <t>CDN-CON-0270</t>
  </si>
  <si>
    <t>CDN-CON-0280</t>
  </si>
  <si>
    <t>CDN-CON-0290</t>
  </si>
  <si>
    <t>04°43'32.5779"N</t>
  </si>
  <si>
    <t>KR 15 CL 144</t>
  </si>
  <si>
    <t>KR 15 CL 142</t>
  </si>
  <si>
    <t>CDN-CON-0320</t>
  </si>
  <si>
    <t>CDN-CON-0340</t>
  </si>
  <si>
    <t>CDN-CON-0400</t>
  </si>
  <si>
    <t>CDN-CON-0420</t>
  </si>
  <si>
    <t>04°42'59.27"N</t>
  </si>
  <si>
    <t>KR 15 CL 140</t>
  </si>
  <si>
    <t>KR 15 CL 136</t>
  </si>
  <si>
    <t>KR 15 CL 134 A</t>
  </si>
  <si>
    <t>AC 134 KR 15</t>
  </si>
  <si>
    <t>CMO-HCO-0001</t>
  </si>
  <si>
    <t>CMO-HCO-0002</t>
  </si>
  <si>
    <t>CMO-HCO-0003</t>
  </si>
  <si>
    <t>CMO-HCO-0020</t>
  </si>
  <si>
    <t>CL 108 KR 1 Este</t>
  </si>
  <si>
    <t>CL 108 KR 2</t>
  </si>
  <si>
    <t>CL 108 A KR 5 A</t>
  </si>
  <si>
    <t>CMO-HCO-0090</t>
  </si>
  <si>
    <t>CMO-HCO-0120</t>
  </si>
  <si>
    <t>04°41'15.6578"N</t>
  </si>
  <si>
    <t>DG 108 A KR 7 C</t>
  </si>
  <si>
    <t>KR 8 DG 108 A</t>
  </si>
  <si>
    <t>CMO-HCO-0240</t>
  </si>
  <si>
    <t>CMO-HCO-0270</t>
  </si>
  <si>
    <t>CL 112 KR 15A</t>
  </si>
  <si>
    <t>KR 16 con CL 112</t>
  </si>
  <si>
    <t>CMO-HCO-0300</t>
  </si>
  <si>
    <t>CMO-HCO-0301</t>
  </si>
  <si>
    <t>CL 112 KR 17</t>
  </si>
  <si>
    <t>CMO-HCO-0430</t>
  </si>
  <si>
    <t>04°41'47.51"N</t>
  </si>
  <si>
    <t>CL 112 AK 19</t>
  </si>
  <si>
    <t>CMO-HCO-0450</t>
  </si>
  <si>
    <t>CMO-HCO-0551</t>
  </si>
  <si>
    <t>CMO-HCO-0610</t>
  </si>
  <si>
    <t>CMO-HCO-0620</t>
  </si>
  <si>
    <t>CMO-HCO-0660</t>
  </si>
  <si>
    <t>CMO-HCO-0680</t>
  </si>
  <si>
    <t>CMO-HCO-0730</t>
  </si>
  <si>
    <t>CMO-HCO-0750</t>
  </si>
  <si>
    <t>CMO-HCO-0760</t>
  </si>
  <si>
    <t>CMO-HCO-0770</t>
  </si>
  <si>
    <t>CMO-HCO-0780</t>
  </si>
  <si>
    <t>CMO-HCO-F</t>
  </si>
  <si>
    <t>04°41'46.6281"N</t>
  </si>
  <si>
    <t>04°41'51.23"N</t>
  </si>
  <si>
    <t>04°41'51.39"N</t>
  </si>
  <si>
    <t>04°41'59.6399"N</t>
  </si>
  <si>
    <t>CL 114 AK 19</t>
  </si>
  <si>
    <t>AK 45 CL 111</t>
  </si>
  <si>
    <t>CL 108 KR 47</t>
  </si>
  <si>
    <t xml:space="preserve">CL 108 KR 47 </t>
  </si>
  <si>
    <t>CL 108 KR 49B</t>
  </si>
  <si>
    <t>KR 50 CL 108</t>
  </si>
  <si>
    <t>CL 108 KR 53</t>
  </si>
  <si>
    <t>CL 108 KR 54</t>
  </si>
  <si>
    <t>CL 108 TV 55</t>
  </si>
  <si>
    <t>CL 113 TV 55</t>
  </si>
  <si>
    <t>CL 114A TV 54</t>
  </si>
  <si>
    <t>AK 55 CL 111</t>
  </si>
  <si>
    <t>CEV-CRN-I</t>
  </si>
  <si>
    <t>CEV-CRN-0030</t>
  </si>
  <si>
    <t>CEV-CRN-0050</t>
  </si>
  <si>
    <t>CEV-CRN-0060</t>
  </si>
  <si>
    <t>CEV-CRN-0080</t>
  </si>
  <si>
    <t>CEV-CRN-0090</t>
  </si>
  <si>
    <t>CEV-CRN-0100</t>
  </si>
  <si>
    <t>CEV-CRN-0110</t>
  </si>
  <si>
    <t>CEV-CRN-0120</t>
  </si>
  <si>
    <t>CEV-CRN-0140</t>
  </si>
  <si>
    <t>CEV-CRN-0150</t>
  </si>
  <si>
    <t>CEV-CRN-0160</t>
  </si>
  <si>
    <t>CEV-CRN-0170</t>
  </si>
  <si>
    <t>CEV-CRN-0180</t>
  </si>
  <si>
    <t>CEV-CRN-0195</t>
  </si>
  <si>
    <t>04°40'07.4621"N</t>
  </si>
  <si>
    <t>04°40'08.2230"N</t>
  </si>
  <si>
    <t>04°40'09.9040"N</t>
  </si>
  <si>
    <t>04°40'10.9598"N</t>
  </si>
  <si>
    <t>04°40'11.5169"N</t>
  </si>
  <si>
    <t>04°40'11.9885"N</t>
  </si>
  <si>
    <t>04°40'13.2102"N</t>
  </si>
  <si>
    <t>04°40'14.1458"N</t>
  </si>
  <si>
    <t>04°40'14.8539"N</t>
  </si>
  <si>
    <t>04°40'15.5486"N</t>
  </si>
  <si>
    <t>04°40'15.5503"N</t>
  </si>
  <si>
    <t>04°40'16.2808"N</t>
  </si>
  <si>
    <t>04°40'23.0038"N</t>
  </si>
  <si>
    <t>04°40'23.5449"N</t>
  </si>
  <si>
    <t>04°40'30.5002"N</t>
  </si>
  <si>
    <t xml:space="preserve">CL 88 AK 7 </t>
  </si>
  <si>
    <t>CL 88 KR 7 A</t>
  </si>
  <si>
    <t>CL 88 KR 8</t>
  </si>
  <si>
    <t>CL 88 KR 8A</t>
  </si>
  <si>
    <t>CL 88 KR 9</t>
  </si>
  <si>
    <t>CL 88 KR 9 A</t>
  </si>
  <si>
    <t>CL 88 KR 10</t>
  </si>
  <si>
    <t>CL 88 AK 11</t>
  </si>
  <si>
    <t>CL 88 KR 11 A</t>
  </si>
  <si>
    <t>CL 87 AK 15</t>
  </si>
  <si>
    <t>CL 88 AK 15</t>
  </si>
  <si>
    <t>CEV-CRN-0220</t>
  </si>
  <si>
    <t>CLC-CRN-F
CRN-RSA-0250</t>
  </si>
  <si>
    <t>CRN-RSA-0290</t>
  </si>
  <si>
    <t>CRN-RSA-0310</t>
  </si>
  <si>
    <t>04°40'38.3393"N</t>
  </si>
  <si>
    <t>04°40'42.1348"N</t>
  </si>
  <si>
    <t>04°40'43.0493"N</t>
  </si>
  <si>
    <t>04°40'43.0793"N</t>
  </si>
  <si>
    <t>AK 30 CL 90</t>
  </si>
  <si>
    <t>KR 49 B CL 90</t>
  </si>
  <si>
    <t>CL 90 KR 49 D</t>
  </si>
  <si>
    <t>CRN-RSA-0450</t>
  </si>
  <si>
    <t>CRN-RSA-0510</t>
  </si>
  <si>
    <t>CRN-RSA-0520</t>
  </si>
  <si>
    <t>04°40'55.9233"N</t>
  </si>
  <si>
    <t>04°41'01.1786"N</t>
  </si>
  <si>
    <t>04°41'02.3607"N</t>
  </si>
  <si>
    <t>CL 90 KR 60 D</t>
  </si>
  <si>
    <t>CL 90 KR 64</t>
  </si>
  <si>
    <t>CL 90 KR 65 A</t>
  </si>
  <si>
    <t>CCO-RFU-0010</t>
  </si>
  <si>
    <t>CCO-RFU-0030</t>
  </si>
  <si>
    <t>CCO-RFU-0040</t>
  </si>
  <si>
    <t>CCO-RFU-0080</t>
  </si>
  <si>
    <t>CCO-RFU-0120</t>
  </si>
  <si>
    <t>CCO-RFU-0115</t>
  </si>
  <si>
    <t>CCO-RFU-0160</t>
  </si>
  <si>
    <t>CCO-RFU-0180</t>
  </si>
  <si>
    <t>CCO-RFU-0190</t>
  </si>
  <si>
    <t>CCO-RFU-0210</t>
  </si>
  <si>
    <t>CCO-RFU-0240</t>
  </si>
  <si>
    <t>CCO-RFU-0260</t>
  </si>
  <si>
    <t>CCO-RFU-0270</t>
  </si>
  <si>
    <t>CCO-RFU-0310</t>
  </si>
  <si>
    <t>CCO-RFU-0340</t>
  </si>
  <si>
    <t>CCO-RFU-0360</t>
  </si>
  <si>
    <t>CCO-RFU-0370</t>
  </si>
  <si>
    <t>CCO-RFU-0380</t>
  </si>
  <si>
    <t>CCO-RFU-0390</t>
  </si>
  <si>
    <t>CCO-RFU-0410</t>
  </si>
  <si>
    <t>CCO-RFU-0420</t>
  </si>
  <si>
    <t>CCO-RFU-0430</t>
  </si>
  <si>
    <t>CCO-RFU-0440</t>
  </si>
  <si>
    <t>AC 6 KR 27</t>
  </si>
  <si>
    <t>AC 6 KR 29</t>
  </si>
  <si>
    <t>AC 6 KR 32 A</t>
  </si>
  <si>
    <t>AC 6 KR 36</t>
  </si>
  <si>
    <t>KR 39 B CL 5 A</t>
  </si>
  <si>
    <t>KR 39 B CL 4 B</t>
  </si>
  <si>
    <t>KR 39 B CL 4</t>
  </si>
  <si>
    <t>CL 3 KR 39</t>
  </si>
  <si>
    <t>CL 3 KR 41</t>
  </si>
  <si>
    <t>CL 3 KR 41 A</t>
  </si>
  <si>
    <t>CL 3 KR 53 B</t>
  </si>
  <si>
    <t>CL 3 KR 53 D Bis</t>
  </si>
  <si>
    <t>CL 3 KR 54</t>
  </si>
  <si>
    <t>CL 3 KR 55</t>
  </si>
  <si>
    <t>CL 3 KR 56</t>
  </si>
  <si>
    <t>CL 3 KR 60</t>
  </si>
  <si>
    <t>CL 3 KR 64</t>
  </si>
  <si>
    <t>AK 68 CL 3</t>
  </si>
  <si>
    <t>Canal El Ejido o Comuneros II</t>
  </si>
  <si>
    <t>CEJ-CSF-0010</t>
  </si>
  <si>
    <t>CEJ-CSF-0020</t>
  </si>
  <si>
    <t>CEJ-CSF-0030</t>
  </si>
  <si>
    <t>CEJ-CSF-0070</t>
  </si>
  <si>
    <t>CEJ-CSF-0078</t>
  </si>
  <si>
    <t>CEJ-CSF-0080</t>
  </si>
  <si>
    <t>CEJ-CSF-F 
(CSF-RFU-0210)</t>
  </si>
  <si>
    <t>Inicio del Canal El Ejido o Comuneros II- Alivio Colector Comuneros 2</t>
  </si>
  <si>
    <t>Inicio del Canal El Ejido o Comuneros II - Alivio Colector El Ejido</t>
  </si>
  <si>
    <t>Alivio Colector El Ejido</t>
  </si>
  <si>
    <t>Red Local Pluvial Calle 22 A</t>
  </si>
  <si>
    <t>Red Local Sanitaria Carrera 56</t>
  </si>
  <si>
    <t>Alivio Interceptor Centro Industrial</t>
  </si>
  <si>
    <t>Entrega del Canal Comuneros II – El Ejido al Canal  San Francisco</t>
  </si>
  <si>
    <t>CSF-RFU-0020</t>
  </si>
  <si>
    <t>CSF-RFU-0141</t>
  </si>
  <si>
    <t>CSF-RFU-0200</t>
  </si>
  <si>
    <t>CSF-RFU-0230</t>
  </si>
  <si>
    <t>AK 50 DG 22 B (Av. La Esperanza)</t>
  </si>
  <si>
    <t>CL 22 A KR 55</t>
  </si>
  <si>
    <t>CSF-RFU-0240</t>
  </si>
  <si>
    <t>CSF-RFU-0250</t>
  </si>
  <si>
    <t>CSF-RFU-0260</t>
  </si>
  <si>
    <t>CSF-RFU-0350</t>
  </si>
  <si>
    <t>CSF-RFU-0360</t>
  </si>
  <si>
    <t>CSF-RFU-0410</t>
  </si>
  <si>
    <t>CSF-RFU-0330</t>
  </si>
  <si>
    <t>CSF-RFU-0450</t>
  </si>
  <si>
    <t>CSF-RFU-0490</t>
  </si>
  <si>
    <t>CSF-RFU-0500</t>
  </si>
  <si>
    <t xml:space="preserve">CL 22 A KR 57 </t>
  </si>
  <si>
    <t>CL 22 A  KR 60</t>
  </si>
  <si>
    <t>CL 22 A KR 60</t>
  </si>
  <si>
    <t xml:space="preserve">CL 22 con AK 62 </t>
  </si>
  <si>
    <t>CL 22 A KR 62</t>
  </si>
  <si>
    <t xml:space="preserve">CL 22 A con AK 68  </t>
  </si>
  <si>
    <t xml:space="preserve">CL 22 A con AK 68 </t>
  </si>
  <si>
    <t>CL 22 A con AK 68 A</t>
  </si>
  <si>
    <t xml:space="preserve">CL 22A con KR 68B </t>
  </si>
  <si>
    <t>CL 22 A con AK 68 D</t>
  </si>
  <si>
    <t xml:space="preserve">CL 22 A con AK 68 F </t>
  </si>
  <si>
    <t xml:space="preserve">CL 22A con KR 69D </t>
  </si>
  <si>
    <t xml:space="preserve">CL 22 A con AK 70 </t>
  </si>
  <si>
    <t>CL 22 A AK 72</t>
  </si>
  <si>
    <t>CSF-RFU-0600</t>
  </si>
  <si>
    <t>CSF-RFU-0649</t>
  </si>
  <si>
    <t>CSF-RFU-0650</t>
  </si>
  <si>
    <t>CSF-RFU-0700</t>
  </si>
  <si>
    <t>CSF-RFU-0850</t>
  </si>
  <si>
    <t>CSF-RFU-0880</t>
  </si>
  <si>
    <t>CSF-RFU-0820</t>
  </si>
  <si>
    <t>CSF-RFU-0040</t>
  </si>
  <si>
    <t>CSF-RFU-0130</t>
  </si>
  <si>
    <t>CSF-RFU-0140</t>
  </si>
  <si>
    <t>AC 26 KR 48</t>
  </si>
  <si>
    <t>KR 50 AC 24 (Av. Esperanza)</t>
  </si>
  <si>
    <t>CSF-RFU-0180</t>
  </si>
  <si>
    <t>CSF-RFU-0190</t>
  </si>
  <si>
    <t>CL 22 A KR 52</t>
  </si>
  <si>
    <t>CSF-RFU-0300</t>
  </si>
  <si>
    <t>CL 22 A KR 64</t>
  </si>
  <si>
    <t>CSF-RFU-0320</t>
  </si>
  <si>
    <t>CL 22 A KR 66</t>
  </si>
  <si>
    <t>CSF-RFU-0340</t>
  </si>
  <si>
    <t>CSF-RFU-0351</t>
  </si>
  <si>
    <t>AK 68 CL 22 A</t>
  </si>
  <si>
    <t>CSF-RFU-0361</t>
  </si>
  <si>
    <t>CSF-RFU-0431</t>
  </si>
  <si>
    <t>CL 22 A KR 68 B</t>
  </si>
  <si>
    <t>CSF-RFU-0510</t>
  </si>
  <si>
    <t>CSF-RFU-0520</t>
  </si>
  <si>
    <t>CSF-RFU-0530</t>
  </si>
  <si>
    <t>CL 22 KR 68 D</t>
  </si>
  <si>
    <t>CL 22 KR 69</t>
  </si>
  <si>
    <t>CSF-RFU-0570</t>
  </si>
  <si>
    <t>CL 22 KR 69 F</t>
  </si>
  <si>
    <t xml:space="preserve">CSF-RFU-0630 </t>
  </si>
  <si>
    <t>CSF-RFU-0640</t>
  </si>
  <si>
    <t>CSF-RFU-0641</t>
  </si>
  <si>
    <t>AK 72 CL 22</t>
  </si>
  <si>
    <t>CSF-RFU-0660</t>
  </si>
  <si>
    <t>CL 22 A con AK 72</t>
  </si>
  <si>
    <t xml:space="preserve">CL 22 KR 72 C </t>
  </si>
  <si>
    <t>CSF-RFU-0780</t>
  </si>
  <si>
    <t>CSF-RFU-0800</t>
  </si>
  <si>
    <t>CL 22 A TV 73 A</t>
  </si>
  <si>
    <t>CL 22 KR 80 A</t>
  </si>
  <si>
    <t>KR 80 A CL 19 B</t>
  </si>
  <si>
    <t>CSF-RFU-0810</t>
  </si>
  <si>
    <t>CSF-RFU-0860</t>
  </si>
  <si>
    <t>KR 80 A CL 19</t>
  </si>
  <si>
    <t>CSF-RFU-0950</t>
  </si>
  <si>
    <t>CSF-RFU-0970</t>
  </si>
  <si>
    <t>AC 17 KR 80 A</t>
  </si>
  <si>
    <t xml:space="preserve">DG 15 A con KR 96 I.
TV 97 Bis con CL 13C (EB San Pedro Los Robles) </t>
  </si>
  <si>
    <t>Vía Usme, KR 1 con CL 111 A Sur.</t>
  </si>
  <si>
    <t>Quebrada Chuniza</t>
  </si>
  <si>
    <t>QCH-RTU-0010</t>
  </si>
  <si>
    <t>CL 97 C Sur</t>
  </si>
  <si>
    <t>QCH-RTU-0020</t>
  </si>
  <si>
    <t>QCH-RTU-0030</t>
  </si>
  <si>
    <t>QCH-RTU-0040</t>
  </si>
  <si>
    <t xml:space="preserve">AK 5 Este 97 Sur 1 A 97 Sur 31 </t>
  </si>
  <si>
    <t>QCH-RTU-0050</t>
  </si>
  <si>
    <t xml:space="preserve">KR 5 B Este CL 97 B Sur </t>
  </si>
  <si>
    <t>QCH-RTU-0060</t>
  </si>
  <si>
    <t>CL 97 B Sur KR 1 F</t>
  </si>
  <si>
    <t>QCH-RTU-0070</t>
  </si>
  <si>
    <t>QCH-RTU-0080</t>
  </si>
  <si>
    <t>CL 99 Sur KR 3 B</t>
  </si>
  <si>
    <t>QCH-RTU-0090</t>
  </si>
  <si>
    <t>DG 100 A Sur KR 4 B</t>
  </si>
  <si>
    <t>QCH-RTU-0100</t>
  </si>
  <si>
    <t>DG 100 A Sur KR 5 A</t>
  </si>
  <si>
    <t>QCH-RTU-0110</t>
  </si>
  <si>
    <t>DG 100 A Sur KR 6</t>
  </si>
  <si>
    <t>QCH-RTU-0120</t>
  </si>
  <si>
    <t>QCH-RTU-0130</t>
  </si>
  <si>
    <t>TV 13 100 C Sur</t>
  </si>
  <si>
    <t>QCH-RTU-0140</t>
  </si>
  <si>
    <t>QCH-RTU-0150</t>
  </si>
  <si>
    <t>Parque Ecologico Cantarrana</t>
  </si>
  <si>
    <t>QCH-RTU-0160</t>
  </si>
  <si>
    <t>Quebrada El Piojo</t>
  </si>
  <si>
    <t>QPI-RTU-I</t>
  </si>
  <si>
    <t>Av. Al Llano CL 117 Sur  - Inicio de la Quebrada El Piojo jurisdicción SDA</t>
  </si>
  <si>
    <t>QPI-RTU-0020</t>
  </si>
  <si>
    <t>Av. Al Llano CL 117 Sur</t>
  </si>
  <si>
    <t>QPI-RTU-0030</t>
  </si>
  <si>
    <t>QPI-RTU-0031</t>
  </si>
  <si>
    <t>KR 6 C Este 116 Sur  - 57 A 116 Sur 99</t>
  </si>
  <si>
    <t>QPI-RTU-0032</t>
  </si>
  <si>
    <t>CL 115 Sur 5 Este - 73 A 5 Este 93</t>
  </si>
  <si>
    <t>QPI-RTU-0040</t>
  </si>
  <si>
    <t>QPI-RTU-0070</t>
  </si>
  <si>
    <t>KR 4 F Este CL 117 Sur</t>
  </si>
  <si>
    <t>QPI-RTU-0090</t>
  </si>
  <si>
    <t>KR 4 A Este CL 116 A Sur</t>
  </si>
  <si>
    <t>QPI-RTU-0120</t>
  </si>
  <si>
    <t>KR 3 C Este CL 116 A Sur</t>
  </si>
  <si>
    <t>QPI-RTU-0130</t>
  </si>
  <si>
    <t>KR 3 Este CL 116 A Sur</t>
  </si>
  <si>
    <t>QPI-RTU-0140</t>
  </si>
  <si>
    <t>KR 2 A Este CL 116 A Sur</t>
  </si>
  <si>
    <t>QPI-RTU-0170</t>
  </si>
  <si>
    <t>KR 1 Este CL 116 A Sur</t>
  </si>
  <si>
    <t>QPI-RTU-0180</t>
  </si>
  <si>
    <t>QPI-RTU-0190</t>
  </si>
  <si>
    <t>QPI-RTU-0220</t>
  </si>
  <si>
    <t>KR 2 A CL 116 A Sur</t>
  </si>
  <si>
    <t>Quebrada Mediania - 
Quebrada Fucha</t>
  </si>
  <si>
    <t>QME-QFU-F</t>
  </si>
  <si>
    <t>TV 7 C Este CL 116 Sur- Confluencia Quebrada Mediania a la Quebrada Fucha</t>
  </si>
  <si>
    <t>Quebrada Fucha</t>
  </si>
  <si>
    <t>QFU-RTU-0050</t>
  </si>
  <si>
    <t>TV 6 G BIS Este CL 117 C Sur</t>
  </si>
  <si>
    <t>QFU-RTU-0060</t>
  </si>
  <si>
    <t>ND</t>
  </si>
  <si>
    <t>QFU-RTU-0070</t>
  </si>
  <si>
    <t>QQT-QFU-F</t>
  </si>
  <si>
    <t>Confluencia Quebrada Quinta a la Quebrada Fucha</t>
  </si>
  <si>
    <t>QYO-RTU-I</t>
  </si>
  <si>
    <t>TV 8 Este CL  86 B Sur (Barrio La Reforma KR 8 D Este) - Inicio de la Quebrada Yomasa jurisdicción SDA</t>
  </si>
  <si>
    <t>74°05´55.22”W</t>
  </si>
  <si>
    <t>Quebrada San Pedrina-
Quebrada Yomasa</t>
  </si>
  <si>
    <t xml:space="preserve">QSP-QYO-F
(QYO-RTU-0010) </t>
  </si>
  <si>
    <t>KR 8 D Este CL 86 B Sur - Confluencia Quebrada San Pedrina a la Quebrada Yomasa.</t>
  </si>
  <si>
    <t>74°05'55.03"W</t>
  </si>
  <si>
    <t>QYO-RTU-0050</t>
  </si>
  <si>
    <t>CL 89 Sur KR 79 BIS</t>
  </si>
  <si>
    <t>QYO-RTU-0095</t>
  </si>
  <si>
    <t xml:space="preserve">CL 83 B Sur KR 6 Este </t>
  </si>
  <si>
    <t>QYO-RTU-0100</t>
  </si>
  <si>
    <t>KR 6 Este CL 83 A Sur</t>
  </si>
  <si>
    <t>QYO-RTU-0110</t>
  </si>
  <si>
    <t>Entre CL 83 sur y CL 83 BIS sur</t>
  </si>
  <si>
    <t>QYO-RTU-0170</t>
  </si>
  <si>
    <t>KR 5 Este CL 86 Sur</t>
  </si>
  <si>
    <t>74°06'16.79"W</t>
  </si>
  <si>
    <t>Quebrada Bolonia-
Quebrada Bolonia</t>
  </si>
  <si>
    <t xml:space="preserve">QBO-QYO-F
(QYO-RTU-0180) </t>
  </si>
  <si>
    <t>CL 84 A TV 4 Este  - Confluencia Quebrada Bolonia a la Quebrada Yomasa.</t>
  </si>
  <si>
    <t>74°06'21.49"W</t>
  </si>
  <si>
    <t>QYO-RTU-0190</t>
  </si>
  <si>
    <t>CL 84 A TV 4 A Este</t>
  </si>
  <si>
    <t>74°06'23.79"W</t>
  </si>
  <si>
    <t>QYO-RTU-0200</t>
  </si>
  <si>
    <t xml:space="preserve">CL 84 A TV 4 A BIS Este </t>
  </si>
  <si>
    <t>QYO-RTU-0210</t>
  </si>
  <si>
    <t xml:space="preserve">CL 84 A TV 4 A Este </t>
  </si>
  <si>
    <t>QYO-RTU-0230</t>
  </si>
  <si>
    <t xml:space="preserve">CL 84 A KR 3 Este </t>
  </si>
  <si>
    <t>QYO-RTU-0280</t>
  </si>
  <si>
    <t xml:space="preserve">CL 84 A Sur KR 1 </t>
  </si>
  <si>
    <t>74°06'50.70"W</t>
  </si>
  <si>
    <t>QYO-RTU-0290</t>
  </si>
  <si>
    <t xml:space="preserve">KR 1 CL 84 sur </t>
  </si>
  <si>
    <t>QYO-RTU-0300</t>
  </si>
  <si>
    <t>QYO-RTU-0460</t>
  </si>
  <si>
    <t xml:space="preserve">CL 93 B KR 3 B </t>
  </si>
  <si>
    <t>QYO-RTU-0510</t>
  </si>
  <si>
    <t>CL 95 A Sur KR 5 A</t>
  </si>
  <si>
    <t>QYO-RTU-0511</t>
  </si>
  <si>
    <t xml:space="preserve">CL 96 A Sur KR 5 A </t>
  </si>
  <si>
    <t>QYO-RTU-0530</t>
  </si>
  <si>
    <t xml:space="preserve">CL 96 A sur KR 5 </t>
  </si>
  <si>
    <t>Quebrada La Fiscala</t>
  </si>
  <si>
    <t>QFI-QHR-I</t>
  </si>
  <si>
    <t>Avenida la Fiscala CL 65 Sur KR 4 BIS - Inicio de la Quebrada La Fiscala  jurisdicción SDA</t>
  </si>
  <si>
    <t>74°06'31.34"W</t>
  </si>
  <si>
    <t>QHR-RTU-I</t>
  </si>
  <si>
    <t>CL 64 Sur - Inicio de la Quebrada Hoya del Ramo  jurisdicción SDA</t>
  </si>
  <si>
    <t>74°06'03.64"W</t>
  </si>
  <si>
    <t>QHR-RTU-0010</t>
  </si>
  <si>
    <t xml:space="preserve">TV 4 A Este CL 63 Sur </t>
  </si>
  <si>
    <t>74°06'31.86"W</t>
  </si>
  <si>
    <t>QHR-RTU-0020</t>
  </si>
  <si>
    <t>TV 4 A Este CL 63 Sur</t>
  </si>
  <si>
    <t>74°06'31.90"W</t>
  </si>
  <si>
    <t>Quebrada La Fiscala -
Quebrada Hoya del Ramo</t>
  </si>
  <si>
    <t>QFI-QHR-F
(QHR-RTU-0030)</t>
  </si>
  <si>
    <t>TV 4 Este CL 64 Sur - Confluencia Quebrada La Fiscala a la Quebrada Hoya del Ramo.</t>
  </si>
  <si>
    <t>74°06'33.00"W</t>
  </si>
  <si>
    <t>QHR-RTU-0040</t>
  </si>
  <si>
    <t>TV 2 C Este CL 64 Sur</t>
  </si>
  <si>
    <t>74°06'37.18"W</t>
  </si>
  <si>
    <t>QHR-RTU-0050</t>
  </si>
  <si>
    <t>CL 64 Sur KR 4 F Este</t>
  </si>
  <si>
    <t>74°06'37.48"W</t>
  </si>
  <si>
    <t>QHR-RTU-0060</t>
  </si>
  <si>
    <t>CL 64 Sur KR 2 28 F</t>
  </si>
  <si>
    <t>74°06'38.38"W</t>
  </si>
  <si>
    <t>QHR-RTU-0070</t>
  </si>
  <si>
    <t xml:space="preserve">CL 64 Sur KR 4 A Este </t>
  </si>
  <si>
    <t>QHR-RTU-0080</t>
  </si>
  <si>
    <t>CL 64 Sur TV 2 C Este</t>
  </si>
  <si>
    <t>QHR-RTU-0090</t>
  </si>
  <si>
    <t>CL 64 Sur KR 4 A Este</t>
  </si>
  <si>
    <t>74°06'42.54"W</t>
  </si>
  <si>
    <t>QHR-RTU-0100</t>
  </si>
  <si>
    <t>CL 64 Sur KR 1 72</t>
  </si>
  <si>
    <t>74°06'46.21"W</t>
  </si>
  <si>
    <t>QHR-RTU-0110</t>
  </si>
  <si>
    <t>CL 64 Sur KR 1 90</t>
  </si>
  <si>
    <t>74°06'46.78"W</t>
  </si>
  <si>
    <t>QHR-RTU-0120</t>
  </si>
  <si>
    <t>CL 64 Sur KR 1 98</t>
  </si>
  <si>
    <t>74°06'47.43"W</t>
  </si>
  <si>
    <t>QHR-RTU-0130</t>
  </si>
  <si>
    <t>74°06'47.66"W</t>
  </si>
  <si>
    <t>QHR-RTU-0140</t>
  </si>
  <si>
    <t>TV 2 Este CL 64 Sur</t>
  </si>
  <si>
    <t>74°06'50.96"W</t>
  </si>
  <si>
    <t>QHR-RTU-0150</t>
  </si>
  <si>
    <t>CL 64 Sur TV 2 Este</t>
  </si>
  <si>
    <t>74°06'50.99"W</t>
  </si>
  <si>
    <t>QHR-RTU-0160</t>
  </si>
  <si>
    <t>CL 58 Sur KR 1C Este</t>
  </si>
  <si>
    <t>74°06'59.75"W</t>
  </si>
  <si>
    <t>QHR-RTU-0170</t>
  </si>
  <si>
    <t>Puente vehicular Ladrillera Santa Fe CL 65 Sur</t>
  </si>
  <si>
    <t>QHR-RTU-0180</t>
  </si>
  <si>
    <t>QSL-QHR-I</t>
  </si>
  <si>
    <t>KR 16 Este CL 76 Sur (Antigua Vía al llano) - Inicio de la Quebrada Santa Librada  jurisdicción SDA</t>
  </si>
  <si>
    <t>QSL-QHR-0010</t>
  </si>
  <si>
    <t>KR 16 Este CL 76 Sur</t>
  </si>
  <si>
    <t>QSL-QHR-0020</t>
  </si>
  <si>
    <t>QSL-QHR-0030</t>
  </si>
  <si>
    <t>KR 14 A CL 76 Sur</t>
  </si>
  <si>
    <t>QSL-QHR-0040</t>
  </si>
  <si>
    <t xml:space="preserve">KR 14 CL 76 Sur </t>
  </si>
  <si>
    <t>QSL-QHR-0050</t>
  </si>
  <si>
    <t>KR 13 CL 76 Sur</t>
  </si>
  <si>
    <t>QSL-QHR-0060</t>
  </si>
  <si>
    <t>CL 75 C Sur KR 12 A Este</t>
  </si>
  <si>
    <t>Quebrada Curí -
Quebrada Santa Librada</t>
  </si>
  <si>
    <t>CL 74 A BIS Sur 7 38 - Confluencia Quebrada Curí a la Quebrada Santa Librada</t>
  </si>
  <si>
    <t>74°06'43.00"W</t>
  </si>
  <si>
    <t xml:space="preserve">CL 71 Sur TV 1 B Este </t>
  </si>
  <si>
    <t>CL 71 Sur TV 1 B Este</t>
  </si>
  <si>
    <t>CL 69 B Sur KR 1 B Este</t>
  </si>
  <si>
    <t>Quebrada Palestina o Resaca - 
Quebrada Santa Librada</t>
  </si>
  <si>
    <t>CL 67 A Sur KR 1 -  Confluencia Quebrada Palestina o Resaca a la Quebrada Santa Librada</t>
  </si>
  <si>
    <t>Avenida Caracas, 20 metros arriba de Ambientes Cerámicos Alfa</t>
  </si>
  <si>
    <t>74°07'17.3"W</t>
  </si>
  <si>
    <t>Quebrada Santa Librada -
Quebrada Hoya del Ramo</t>
  </si>
  <si>
    <t>QSL-QHR-F</t>
  </si>
  <si>
    <t>Confluencia Quebrada Santa Librada  a la Quebrada Hoya del Ramo</t>
  </si>
  <si>
    <t>QIN-QTR-I</t>
  </si>
  <si>
    <t>TV 18 Q - Entrada de la Quebrada El Infierno al Perímetro Urbano</t>
  </si>
  <si>
    <t>74°09'01.60"W</t>
  </si>
  <si>
    <t>QIN-QTR-0065</t>
  </si>
  <si>
    <t xml:space="preserve">TV 18 B BIS B CL 80 Sur </t>
  </si>
  <si>
    <t>74°08'41.39"W</t>
  </si>
  <si>
    <t>QTR-RTU-I</t>
  </si>
  <si>
    <t>KR 17 A CL 81 G BIS Sur- Inicio Parque Minero Industrial El Mochuelo -  Inicio de la Quebrada Trompeta jurisdicción SDA</t>
  </si>
  <si>
    <t>Quebrada Zanjón Agua Caliente -
Quebrada Trompeta</t>
  </si>
  <si>
    <t>ZAC-QTR-F</t>
  </si>
  <si>
    <t>KR 17 A CL 81 G BIS Sur - Confluencia Quebrada Zanjón Agua Caliente a la Quebrada Trompeta</t>
  </si>
  <si>
    <t>QTR-RTU-0001</t>
  </si>
  <si>
    <t>KR 17 A CL 81 G BIS Sur</t>
  </si>
  <si>
    <t>QTR-RTU-0002</t>
  </si>
  <si>
    <t>KR 17 A CL 81 G 25 Sur Bajo la KR 17 A</t>
  </si>
  <si>
    <t>QTR-RTU-0003</t>
  </si>
  <si>
    <t>QTR-RTU-0035</t>
  </si>
  <si>
    <t>DG 81 A BIS Sur KR 17</t>
  </si>
  <si>
    <t>QTR-RTU-0060</t>
  </si>
  <si>
    <t>KR 16 A CL 80 C Sur</t>
  </si>
  <si>
    <t>QTR-RTU-0085</t>
  </si>
  <si>
    <t>QTR-RTU-0090</t>
  </si>
  <si>
    <t>CL 80 A 16 93 Sur Barrio Minuto de María</t>
  </si>
  <si>
    <t>QTR-RTU-0110</t>
  </si>
  <si>
    <t>CL 80 BIS A Sur KR 168 BIS B</t>
  </si>
  <si>
    <t>QTR-RTU-0111</t>
  </si>
  <si>
    <t>CL 80 BIS A Sur KR 16 B BIS B</t>
  </si>
  <si>
    <t>QTR-RTU-0120</t>
  </si>
  <si>
    <t>Quebrada Infierno - 
Quebrada Trompeta</t>
  </si>
  <si>
    <t>QIN-QTR-F
(QTR-RTU-0170)</t>
  </si>
  <si>
    <t>CL 78 D BIS Sur KR 16 B - Confluencia Quebrada El Infierno a la Quebrada Trompeta</t>
  </si>
  <si>
    <t>QTR-RTU-0190</t>
  </si>
  <si>
    <t>CL 78 D Sur KR 16 B</t>
  </si>
  <si>
    <t>QTR-RTU-0250</t>
  </si>
  <si>
    <t>CL 78 B BIS Sur KR 16</t>
  </si>
  <si>
    <t>QTR-RTU-0265</t>
  </si>
  <si>
    <t>CL 78 A BIS Sur 16 93</t>
  </si>
  <si>
    <t>QTR-RTU-0270</t>
  </si>
  <si>
    <t>DG 77 C Sur KR 16</t>
  </si>
  <si>
    <t>QTR-RTU-F
(RTU-T3-0020)</t>
  </si>
  <si>
    <t>CL 71 Sur KR 15 - Confluencia Quebrada  Trompeta al Río Tunjuelo</t>
  </si>
  <si>
    <t>QAZ-QZA-0010</t>
  </si>
  <si>
    <t>KR 15 Este CL 46 B Sur</t>
  </si>
  <si>
    <t>QAZ-QZA-0020</t>
  </si>
  <si>
    <t xml:space="preserve">KR 15 Este CL 46 B Sur </t>
  </si>
  <si>
    <t>QAZ-QZA-0030</t>
  </si>
  <si>
    <t xml:space="preserve"> KR 15 Este CL 46 B Sur</t>
  </si>
  <si>
    <t>QZA-RTU-I</t>
  </si>
  <si>
    <t>74°05'00.82"W</t>
  </si>
  <si>
    <t>QZA-RTU-0110 (QAZ-QZA-F)</t>
  </si>
  <si>
    <t>74°05'11.21"W</t>
  </si>
  <si>
    <t>QZA-RTU-0040</t>
  </si>
  <si>
    <t>TV 13 G Este CL 46 G Sur</t>
  </si>
  <si>
    <t>TV 13 C Este DG 47 Sur</t>
  </si>
  <si>
    <t>QZA-RTU-0120</t>
  </si>
  <si>
    <t>Kr 11 B Este CL 46 C Sur</t>
  </si>
  <si>
    <t>QZA-RTU-0121</t>
  </si>
  <si>
    <t>TV 11 A BIS Este DG 47 Sur</t>
  </si>
  <si>
    <t>QZA-RTU-0130</t>
  </si>
  <si>
    <t>KR 11 A Este CL 46 Sur</t>
  </si>
  <si>
    <t>QSE-QZA-F (QZA-RTU-M)</t>
  </si>
  <si>
    <t>74°05'21.20"W</t>
  </si>
  <si>
    <t>QZA-RTU-0180</t>
  </si>
  <si>
    <t>KR 11 Este CL 46 A Sur</t>
  </si>
  <si>
    <t>QZA-RTU-0183</t>
  </si>
  <si>
    <t>KR 8 A Este CL  46 Sur</t>
  </si>
  <si>
    <t>QZA-RTU-0222</t>
  </si>
  <si>
    <t>KR 7 Este CL 46 B Sur</t>
  </si>
  <si>
    <t>QZA-RTU-0230</t>
  </si>
  <si>
    <t>QZA-RTU-0240</t>
  </si>
  <si>
    <t>QZA-RTU-0250</t>
  </si>
  <si>
    <t>KR 6 A Este CL 46 A BIS Sur</t>
  </si>
  <si>
    <t>QZA-RTU-0280</t>
  </si>
  <si>
    <t>KR 4 Este DG 45 Sur</t>
  </si>
  <si>
    <t>QZA-RTU-0300</t>
  </si>
  <si>
    <t>KR 3 Este DG 45 Sur</t>
  </si>
  <si>
    <t>QZA-RTU-0301</t>
  </si>
  <si>
    <t>KR 3 Este DG 45 08 Sur</t>
  </si>
  <si>
    <t>QZA-RTU-0302</t>
  </si>
  <si>
    <t>KR 3 Sur 45 08</t>
  </si>
  <si>
    <t>QZA-RTU-0303</t>
  </si>
  <si>
    <t>KR 3 Este 45 09 Sur</t>
  </si>
  <si>
    <t>QZA-RTU-0310</t>
  </si>
  <si>
    <t>KR 3 Este DG 45</t>
  </si>
  <si>
    <t>QZA-RTU-0320</t>
  </si>
  <si>
    <t>KR 2 Este 45 20 Sur</t>
  </si>
  <si>
    <t>QZA-RTU-0340</t>
  </si>
  <si>
    <t xml:space="preserve">KR 2 Este CL 46 BIS Sur </t>
  </si>
  <si>
    <t>QZA-RTU-0350</t>
  </si>
  <si>
    <t>KR 1 F CL 46 Sur</t>
  </si>
  <si>
    <t>QZA-RTU-0360</t>
  </si>
  <si>
    <t xml:space="preserve">KR 1 F Este CL 45 </t>
  </si>
  <si>
    <t>QZA-RTU-0370</t>
  </si>
  <si>
    <t>KR 1 C CL 46 Sur</t>
  </si>
  <si>
    <t>QZA-RTU-0390</t>
  </si>
  <si>
    <t>CL 47 Sur KR 1 BIS</t>
  </si>
  <si>
    <t>QZA-RTU-0410</t>
  </si>
  <si>
    <t>QZA-RTU-0421</t>
  </si>
  <si>
    <t>TV 1 BIS CL 43 S</t>
  </si>
  <si>
    <t>QZA-RTU-0430</t>
  </si>
  <si>
    <t>DG 44 Sur TV 1 BIS</t>
  </si>
  <si>
    <t>QNU-QZA-F</t>
  </si>
  <si>
    <t xml:space="preserve">QGU-QZA-F
(QZA-RTU-0460) </t>
  </si>
  <si>
    <t>QZA-RTU-0470</t>
  </si>
  <si>
    <t>KR 2 D CL 48 P Sur</t>
  </si>
  <si>
    <t>QZA-RTU-0510</t>
  </si>
  <si>
    <t>KR 5 CL 48 N  Sur</t>
  </si>
  <si>
    <t>QZA-RTU-0520</t>
  </si>
  <si>
    <t>KR 5 48 M 50 Sur</t>
  </si>
  <si>
    <t>QZA-RTU-0530</t>
  </si>
  <si>
    <t>CL 48 P BIS Sur KR 5</t>
  </si>
  <si>
    <t>QZA-RTU-0560</t>
  </si>
  <si>
    <t>KR  5 B CL 48 D Sur</t>
  </si>
  <si>
    <t>QZA-RTU-0561</t>
  </si>
  <si>
    <t>KR 5 B CL 48 D Sur</t>
  </si>
  <si>
    <t>QZA-RTU-0562</t>
  </si>
  <si>
    <t>KR 5 A CL 48 P Sur</t>
  </si>
  <si>
    <t>QZA-RTU-0580</t>
  </si>
  <si>
    <t xml:space="preserve">CL 48 Q Sur KR 5 F </t>
  </si>
  <si>
    <t>QZA-RTU-0600</t>
  </si>
  <si>
    <t>CL 48 Q Sur KR 5</t>
  </si>
  <si>
    <t>QZA-RTU-0620</t>
  </si>
  <si>
    <t xml:space="preserve">CL 48 Z Sur KR 5 F </t>
  </si>
  <si>
    <t>QZA-RTU-0621</t>
  </si>
  <si>
    <t>CL 48 Z Sur KR 5 F</t>
  </si>
  <si>
    <t>QZA-RTU-0660</t>
  </si>
  <si>
    <t>CL 49 BIS  5 D 69 Sur</t>
  </si>
  <si>
    <t>QZA-RTU-0700</t>
  </si>
  <si>
    <t>CL 49 BIS Sur KR 5 F</t>
  </si>
  <si>
    <t xml:space="preserve">QZA-RTU-0717 </t>
  </si>
  <si>
    <t>KR 5 F CL 49 C Sur</t>
  </si>
  <si>
    <t>QZA-RTU-0720</t>
  </si>
  <si>
    <t>CL 49 C Sur KR 5 F</t>
  </si>
  <si>
    <t>QZA-RTU-0750</t>
  </si>
  <si>
    <t xml:space="preserve">CL 49 C Sur KR 5 H </t>
  </si>
  <si>
    <t>QZA-RTU-0760</t>
  </si>
  <si>
    <t>CL 49 C Sur 5 D</t>
  </si>
  <si>
    <t>QZA-RTU-0800</t>
  </si>
  <si>
    <t xml:space="preserve">CL 49 B Sur KR 5 M </t>
  </si>
  <si>
    <t>Pozo inspección cárcel La Picota Tapa  66150- KM5 VIA Usme MI (QZA (PZ-66150))</t>
  </si>
  <si>
    <t>74°07'09.3"W</t>
  </si>
  <si>
    <t>QZA-RTU-0810</t>
  </si>
  <si>
    <t>KR 5 M CL 50 Sur</t>
  </si>
  <si>
    <t xml:space="preserve">QZA-RTU-0829 </t>
  </si>
  <si>
    <t>KR 5 M CL 50 Sur -  - Detrás del colegio CED Marruecos y Molinos Sede B</t>
  </si>
  <si>
    <t>QZA-RTU-0830</t>
  </si>
  <si>
    <t xml:space="preserve">QZA-RTU-0840 </t>
  </si>
  <si>
    <t>KR 5 Z CL 51 Sur</t>
  </si>
  <si>
    <t xml:space="preserve">QZA-RTU-0849 </t>
  </si>
  <si>
    <t xml:space="preserve">QZA-RTU-0850 </t>
  </si>
  <si>
    <t>QZA-RTU-0870</t>
  </si>
  <si>
    <t>KR 9 A CL 53 A Sur</t>
  </si>
  <si>
    <t>QZA-RTU-0880</t>
  </si>
  <si>
    <t>KR 10 A 53 A Sur</t>
  </si>
  <si>
    <t>QZA-RTU-0920</t>
  </si>
  <si>
    <t>KR 16 B CL 59 B Sur</t>
  </si>
  <si>
    <t>QLI-RTU-0021</t>
  </si>
  <si>
    <t>QLI-RTU-0040</t>
  </si>
  <si>
    <t>QLI-RTU-0041</t>
  </si>
  <si>
    <t>QLI-RTU-0043</t>
  </si>
  <si>
    <t>QLI-RTU-AI</t>
  </si>
  <si>
    <t>Vía Quiba. CL 73 A Sur - Barrio Los Alpes</t>
  </si>
  <si>
    <t>QLI-RTU-0070</t>
  </si>
  <si>
    <t>Vía Quiba KR 26 C BIS Esquina</t>
  </si>
  <si>
    <t>QLI-RTU-0080</t>
  </si>
  <si>
    <t>QLI-RTU-0081</t>
  </si>
  <si>
    <t>KR 26 C CL 72 F Sur</t>
  </si>
  <si>
    <t>QLI-RTU-0090</t>
  </si>
  <si>
    <t>KR 26 C CL 72 D BIS A Sur</t>
  </si>
  <si>
    <t>Quebrada Honda-
Quebrada Limas</t>
  </si>
  <si>
    <t>QHO-QLI-F 
(QLI-RTU-0110)</t>
  </si>
  <si>
    <t>KR 26 C CL 72 C Sur - Confluencia Quebrada Honda a la Quebrada Limas</t>
  </si>
  <si>
    <t>QLI-RTU-0180</t>
  </si>
  <si>
    <t>TV 18 R 69 K Sur 25</t>
  </si>
  <si>
    <t>QLI-RTU-0181</t>
  </si>
  <si>
    <t>QLI-RTU-0220</t>
  </si>
  <si>
    <t>KR 18 L CL 69 H BIS Sur</t>
  </si>
  <si>
    <t>QLI-RTU-0230</t>
  </si>
  <si>
    <t>CL 69 B 18 61</t>
  </si>
  <si>
    <t>ZDE-QLI-F 
(QLI-RTU-0240)</t>
  </si>
  <si>
    <t>CL 19 D Sur KR 18 U - Confluencia Brazo Derecho Quebrada Limas a la Quebrada Limas</t>
  </si>
  <si>
    <t>ZDE-QLI-0010</t>
  </si>
  <si>
    <t>KR 19 D BIS CL 70 K BIS Sur</t>
  </si>
  <si>
    <t>ZDE-QLI-0020</t>
  </si>
  <si>
    <t>KR 19 F CL 70 M Sur</t>
  </si>
  <si>
    <t>74°09'08.73"W</t>
  </si>
  <si>
    <t>ZDE-QLI-0030</t>
  </si>
  <si>
    <t>ZDE-QLI-0040</t>
  </si>
  <si>
    <t>TV 18 J BIS B CL 70 P Sur</t>
  </si>
  <si>
    <t>ZDE-QLI-0050</t>
  </si>
  <si>
    <t>ZDE-QLI-0060</t>
  </si>
  <si>
    <t>ZDE-QLI-0070</t>
  </si>
  <si>
    <t>ZDE-QLI-0080</t>
  </si>
  <si>
    <t>TV 18 K CL 70 N Sur</t>
  </si>
  <si>
    <t>ZDE-QLI-0090</t>
  </si>
  <si>
    <t>ZDE-QLI-0110</t>
  </si>
  <si>
    <t>CL 70 H 09 Sur</t>
  </si>
  <si>
    <t>ZDE-QLI-0120</t>
  </si>
  <si>
    <t>CL 70 D Sur KR 18 l BIS</t>
  </si>
  <si>
    <t>ZDE-QLI-0130</t>
  </si>
  <si>
    <t>CL 70 Sur KR 18 J</t>
  </si>
  <si>
    <t>ZDE-QLI-0140</t>
  </si>
  <si>
    <t>CL 69 R Sur KR 18 M BIS</t>
  </si>
  <si>
    <t>ZDE-QLI-0150</t>
  </si>
  <si>
    <t>CL 69 l Sur KR 18 P</t>
  </si>
  <si>
    <t>ZDE-QLI-0160</t>
  </si>
  <si>
    <t>KR 18 J CL 69 BIS SUR</t>
  </si>
  <si>
    <t>QLI-RTU-0245</t>
  </si>
  <si>
    <t>CL 19 D Sur KR 18 U</t>
  </si>
  <si>
    <t>QLI-RTU-0250</t>
  </si>
  <si>
    <t>QLI-RTU-0280</t>
  </si>
  <si>
    <t>KR 19 A 69 Sur. Frente Parque Sauces</t>
  </si>
  <si>
    <t>Quebrada Trompetica -
Quebrada Limas</t>
  </si>
  <si>
    <t>TV 20 A CL 68 B Sur -  Confluencia Quebrada Trompetica a la Quebrada Limas</t>
  </si>
  <si>
    <t>QLI-RTU-0310</t>
  </si>
  <si>
    <t xml:space="preserve">CL 68 Sur KR 20 A </t>
  </si>
  <si>
    <t>QLI-RTU-0330</t>
  </si>
  <si>
    <t>KR 20 B 66 98</t>
  </si>
  <si>
    <t>QLI-RTU-0331</t>
  </si>
  <si>
    <t>QLI-RTU-0340</t>
  </si>
  <si>
    <t>KR 20 B 66 90 Sur</t>
  </si>
  <si>
    <t>QLI-RTU-0380</t>
  </si>
  <si>
    <t>KR 21 A 65 88 Sur</t>
  </si>
  <si>
    <t>QLI-RTU-0390</t>
  </si>
  <si>
    <t>QLI-RTU-0400</t>
  </si>
  <si>
    <t>CL 65 Sur 21 04</t>
  </si>
  <si>
    <t>QLI-RTU-0410</t>
  </si>
  <si>
    <t>CL 64 C Sur KR 23</t>
  </si>
  <si>
    <t>QLI-RTU-0420</t>
  </si>
  <si>
    <t>CL 64 A Sur 23 A 08</t>
  </si>
  <si>
    <t>QLI-RTU-0430</t>
  </si>
  <si>
    <t>CL 68 KR 23 C</t>
  </si>
  <si>
    <t>QLI-RTU-0450</t>
  </si>
  <si>
    <t>KR 23 C CL 62 A Sur</t>
  </si>
  <si>
    <t>QLI-RTU-0460</t>
  </si>
  <si>
    <t>KR 24  Av. Villavicencio</t>
  </si>
  <si>
    <t>KR 11 A BIS Este CL 68 Sur</t>
  </si>
  <si>
    <t>74°05'35.20"W</t>
  </si>
  <si>
    <t>KR 11 Este CL 67 Sur</t>
  </si>
  <si>
    <t>74°05'37.90"W</t>
  </si>
  <si>
    <t>CL 50 A BIS Sur KR 3 A Este</t>
  </si>
  <si>
    <t>CL 50 Sur KR 3 A Este</t>
  </si>
  <si>
    <t>CL  49 Sur KR 3 A Este</t>
  </si>
  <si>
    <t>74°05'51.40"W</t>
  </si>
  <si>
    <t>CL 49 Sur KR 3 A Este</t>
  </si>
  <si>
    <t>Quebrada San Camilo</t>
  </si>
  <si>
    <t>QSC-QVJ-I</t>
  </si>
  <si>
    <t>KR 15 Este - Inicio de la Quebrada San Camilo jurisdicción SDA</t>
  </si>
  <si>
    <t>74°05'12.50"W</t>
  </si>
  <si>
    <t>QSC-QVJ-0010</t>
  </si>
  <si>
    <t>KR 15 Este</t>
  </si>
  <si>
    <t>74°05'11.83"W</t>
  </si>
  <si>
    <t>Quebrada San Camilo-
Quebrada Verenjones</t>
  </si>
  <si>
    <t>QSC-QVJ-F</t>
  </si>
  <si>
    <t>KR 11 Este CL 62 04 Sur - Confluencia Quebrada San Camilo a la Quebrada Verenjones</t>
  </si>
  <si>
    <t>74°05'21.54"W</t>
  </si>
  <si>
    <t>Quebrada Nueva Dheli</t>
  </si>
  <si>
    <t>QND-QVJ-0050</t>
  </si>
  <si>
    <t>KR 11 Este 59 34 Sur</t>
  </si>
  <si>
    <t>74°05'26.80"W</t>
  </si>
  <si>
    <t>QND-QVJ-0060</t>
  </si>
  <si>
    <t>74°05'26.90"W</t>
  </si>
  <si>
    <t>QND-QVJ-0070</t>
  </si>
  <si>
    <t>KR 11 Este 59 28 Sur</t>
  </si>
  <si>
    <t>Quebrada Verenjones</t>
  </si>
  <si>
    <t>QVJ-QNU-I</t>
  </si>
  <si>
    <t>KR 15 Este CL 64 A Sur -Inicio de la Quebrada Verenjones jurisdicción SDA</t>
  </si>
  <si>
    <t>74°05'13.97"W</t>
  </si>
  <si>
    <t>QVJ-QNU-0070</t>
  </si>
  <si>
    <t>74°05'28.70"W</t>
  </si>
  <si>
    <t>QVJ-QNU-0085</t>
  </si>
  <si>
    <t xml:space="preserve">KR 10 BIS B Este 62 26 </t>
  </si>
  <si>
    <t>74°05'31.00"W</t>
  </si>
  <si>
    <t>QVJ-QNU-0090</t>
  </si>
  <si>
    <t>CL 56 Sur 9 A 14 Este</t>
  </si>
  <si>
    <t>74°05'31.20"W</t>
  </si>
  <si>
    <t>QVJ-QNU-0100</t>
  </si>
  <si>
    <t>KR 10 Este 62 20 Sur</t>
  </si>
  <si>
    <t>74°05'34.50"W</t>
  </si>
  <si>
    <t>QVJ-QNU-0110</t>
  </si>
  <si>
    <t>CL 55 Sur 4 B  25 Este</t>
  </si>
  <si>
    <t>74°05'37.50"W</t>
  </si>
  <si>
    <t>QVJ-QNU-0120</t>
  </si>
  <si>
    <t>CL 56 BIS Sur 4 B 02 Este</t>
  </si>
  <si>
    <t>74°05'38.80"W</t>
  </si>
  <si>
    <t>Quebrada Morales</t>
  </si>
  <si>
    <t>QML-QNU-I</t>
  </si>
  <si>
    <t>TV 15 BIS Este DG 56 Sur</t>
  </si>
  <si>
    <t>74°05'04.54"W</t>
  </si>
  <si>
    <t>QML-QNU-0010</t>
  </si>
  <si>
    <t>74°05'03.95"W</t>
  </si>
  <si>
    <t>QML-QNU-0020</t>
  </si>
  <si>
    <t>KR 13 B Este BIS CL 54 Sur</t>
  </si>
  <si>
    <t>74°05'17.46"W</t>
  </si>
  <si>
    <t>QML-QNU-0030</t>
  </si>
  <si>
    <t>TV 12 B BIS DG 54 Sur</t>
  </si>
  <si>
    <t>74°05'19.02"W</t>
  </si>
  <si>
    <t>QML-QNU-0040</t>
  </si>
  <si>
    <t>KR 11 Este DG 54 Sur</t>
  </si>
  <si>
    <t>74°05'26.22"W</t>
  </si>
  <si>
    <t>QML-QNU-0050</t>
  </si>
  <si>
    <t>CL 54 A BIS A Sur KR 8 B</t>
  </si>
  <si>
    <t>74°05'31.22"W</t>
  </si>
  <si>
    <t>QML-QNU-0060</t>
  </si>
  <si>
    <t>CL 54 Sur KR 5 04</t>
  </si>
  <si>
    <t>74°05'33.81"W</t>
  </si>
  <si>
    <t>QML-QNU-0070</t>
  </si>
  <si>
    <t>CL 54 Sur 5 14</t>
  </si>
  <si>
    <t>74°05'38.60"W</t>
  </si>
  <si>
    <t>QHO-QLI-0010</t>
  </si>
  <si>
    <t>CL 74 B Sur TV 27 H</t>
  </si>
  <si>
    <t>74°09'50.30"W</t>
  </si>
  <si>
    <t>QHO-QLI-0020</t>
  </si>
  <si>
    <t>CL 73 B Sur TV 27 H</t>
  </si>
  <si>
    <t>74°09'45.90"W</t>
  </si>
  <si>
    <t>QHO-QLI-0030</t>
  </si>
  <si>
    <t>74°09'45.02"W</t>
  </si>
  <si>
    <t>QHO-QLI-0040</t>
  </si>
  <si>
    <t>DG 73 A Sur TV 27 H</t>
  </si>
  <si>
    <t>74°09'43.50"W</t>
  </si>
  <si>
    <t>QHO-QLI-0050</t>
  </si>
  <si>
    <t>KR 27 B CL 72 C Sur</t>
  </si>
  <si>
    <t>74°09'39.80"W</t>
  </si>
  <si>
    <t>74°04'47.31" W</t>
  </si>
  <si>
    <t>74°05'04.06”W</t>
  </si>
  <si>
    <t>74°05'05.5"W</t>
  </si>
  <si>
    <t xml:space="preserve"> 74°05'18.38" W</t>
  </si>
  <si>
    <t xml:space="preserve"> 74°05'18.11"W</t>
  </si>
  <si>
    <t>74°05'24.49"W</t>
  </si>
  <si>
    <t>74°05'25.3"W</t>
  </si>
  <si>
    <t>74°05'24.73" W</t>
  </si>
  <si>
    <t>74°05'27.8"W</t>
  </si>
  <si>
    <t>74°06'00.61" W</t>
  </si>
  <si>
    <t xml:space="preserve"> 74°06'03.35"W</t>
  </si>
  <si>
    <t>74°06'04.45" W</t>
  </si>
  <si>
    <t>74°06'12.2"W</t>
  </si>
  <si>
    <t xml:space="preserve"> 74°06'15.10"W</t>
  </si>
  <si>
    <t>74°06'36.67"W</t>
  </si>
  <si>
    <t>74°06'40.70" W</t>
  </si>
  <si>
    <t xml:space="preserve"> 74°06'44.00"W</t>
  </si>
  <si>
    <t>74°06'45.35" W</t>
  </si>
  <si>
    <t xml:space="preserve"> 74°07'02.69" W</t>
  </si>
  <si>
    <t>74°07'02.85" W</t>
  </si>
  <si>
    <t>74°07'07.35" W</t>
  </si>
  <si>
    <t xml:space="preserve"> 74°07'06.17"W</t>
  </si>
  <si>
    <t xml:space="preserve"> 74°07'04.79"W</t>
  </si>
  <si>
    <t>74°07'11.00" W</t>
  </si>
  <si>
    <t>74°07'10.18" W</t>
  </si>
  <si>
    <t>74°07'12.39" W</t>
  </si>
  <si>
    <t>4°36' 29.53" N</t>
  </si>
  <si>
    <t>74°07'12.99" W</t>
  </si>
  <si>
    <t>74°07'15.16" W</t>
  </si>
  <si>
    <t>74°07'22.60" W</t>
  </si>
  <si>
    <t>74°07'25.06" W</t>
  </si>
  <si>
    <t>74°07'24.83" W</t>
  </si>
  <si>
    <t>74°07'27.23" W</t>
  </si>
  <si>
    <t>74°07'26.95" W</t>
  </si>
  <si>
    <t>74°07'28.71" W</t>
  </si>
  <si>
    <t>74°07'29.71" W</t>
  </si>
  <si>
    <t>74°07'31.21" W</t>
  </si>
  <si>
    <t>74°07'31.47" W</t>
  </si>
  <si>
    <t>74°07'28.97" W</t>
  </si>
  <si>
    <t>74°07'35.08" W</t>
  </si>
  <si>
    <t>74°07'34.65" W</t>
  </si>
  <si>
    <t xml:space="preserve"> 74°07'35.78"W</t>
  </si>
  <si>
    <t>74°07'36.06"W</t>
  </si>
  <si>
    <t xml:space="preserve"> 74°07'35.87"W</t>
  </si>
  <si>
    <t xml:space="preserve">  74°07'35.25"W</t>
  </si>
  <si>
    <t xml:space="preserve"> 74°07'35.47"W</t>
  </si>
  <si>
    <t>74°07'34.65"W</t>
  </si>
  <si>
    <t>74°07'33.29"W</t>
  </si>
  <si>
    <t xml:space="preserve"> 74°07'32.55"W</t>
  </si>
  <si>
    <t xml:space="preserve"> 74°07'31.74"W</t>
  </si>
  <si>
    <t xml:space="preserve"> 74°07'30.51"W</t>
  </si>
  <si>
    <t>74°07'31.68"W</t>
  </si>
  <si>
    <t>74°07'31.23"W</t>
  </si>
  <si>
    <t xml:space="preserve"> 74°07'31.19"W</t>
  </si>
  <si>
    <t>74°07'28.50"W</t>
  </si>
  <si>
    <t xml:space="preserve"> 74°07'27.79"W</t>
  </si>
  <si>
    <t xml:space="preserve"> 74°07'27.06"W</t>
  </si>
  <si>
    <t>74°07'25.40"W</t>
  </si>
  <si>
    <t xml:space="preserve"> 74°07'27.65"W</t>
  </si>
  <si>
    <t>74°07'30.41"W</t>
  </si>
  <si>
    <t xml:space="preserve"> 74°07'33.24"W</t>
  </si>
  <si>
    <t>74°07'33.4"W</t>
  </si>
  <si>
    <t>RFU-T4-0105</t>
  </si>
  <si>
    <t>74°08’03.33"W</t>
  </si>
  <si>
    <t>74°08'05.10"W</t>
  </si>
  <si>
    <t xml:space="preserve"> 74°08'10.79"W</t>
  </si>
  <si>
    <t>74°08'08.68"W</t>
  </si>
  <si>
    <t>74°08'12.74"W</t>
  </si>
  <si>
    <t>74°08'14.77"W</t>
  </si>
  <si>
    <t>74°08'14.78"W</t>
  </si>
  <si>
    <t>74°08'14.92"W</t>
  </si>
  <si>
    <t>74°08’48.98’’W</t>
  </si>
  <si>
    <t>74°09'01.19"W</t>
  </si>
  <si>
    <t>Alivio Interceptor San Cristóbal</t>
  </si>
  <si>
    <t>CRS-RFU-I</t>
  </si>
  <si>
    <t>CRS-RFU-0010</t>
  </si>
  <si>
    <t>CRS-RFU-0290</t>
  </si>
  <si>
    <t>CRS-RFU-0380</t>
  </si>
  <si>
    <t>CRS-RFU-0460</t>
  </si>
  <si>
    <t>DG 36 Sur KR 25</t>
  </si>
  <si>
    <t>CRS-RFU-0030</t>
  </si>
  <si>
    <t>CRS-RFU-0060</t>
  </si>
  <si>
    <t>CRS-RFU-0080</t>
  </si>
  <si>
    <t>CRS-RFU-0090</t>
  </si>
  <si>
    <t>CRS-RFU-0110</t>
  </si>
  <si>
    <t>CRS-RFU-0120</t>
  </si>
  <si>
    <t>CL 38 A Sur KR 28</t>
  </si>
  <si>
    <t>CL 38 A Sur KR 29</t>
  </si>
  <si>
    <t>CL 38 A Sur KR 30</t>
  </si>
  <si>
    <t>CL 38 A Sur KR 31</t>
  </si>
  <si>
    <t>CL 38 A Sur KR 32</t>
  </si>
  <si>
    <t>CRS-RFU-0160</t>
  </si>
  <si>
    <t>CRS-RFU-0250</t>
  </si>
  <si>
    <t>TV 38 A DG 39 A Sur</t>
  </si>
  <si>
    <t>DG 39 Sur TV 35 (Autopista Sur)</t>
  </si>
  <si>
    <t>CRS-RFU-0300</t>
  </si>
  <si>
    <t>CRS-RFU-0313</t>
  </si>
  <si>
    <t>CRS-RFU-0320</t>
  </si>
  <si>
    <t>DG 39 Sur TV 39</t>
  </si>
  <si>
    <t>DG 39 Sur TV 39 B</t>
  </si>
  <si>
    <t>KR 50 B CL 37 A Sur</t>
  </si>
  <si>
    <t>CRS-RFU-0440</t>
  </si>
  <si>
    <t xml:space="preserve">KR 45 con CL 33 Sur </t>
  </si>
  <si>
    <t>CRS-RFU-0470</t>
  </si>
  <si>
    <t>CRS-RFU-0480</t>
  </si>
  <si>
    <t>KR 51 CL 29 Sur</t>
  </si>
  <si>
    <t>KR 51 CL 29 B Sur</t>
  </si>
  <si>
    <t>74°07'11.41"W</t>
  </si>
  <si>
    <t>74°07'11.9"W</t>
  </si>
  <si>
    <t>74°07'11.90"W</t>
  </si>
  <si>
    <t>74°07'18.54"W</t>
  </si>
  <si>
    <t>74°07'18.75"W</t>
  </si>
  <si>
    <t>74°07'19.40"W</t>
  </si>
  <si>
    <t>74°07'21.17"W</t>
  </si>
  <si>
    <t>74°07'21.74"W</t>
  </si>
  <si>
    <t>74°07'24.8"W</t>
  </si>
  <si>
    <t>74°07'28.73"W</t>
  </si>
  <si>
    <t>74°07'31.10"W</t>
  </si>
  <si>
    <t>74°07'31.01"W</t>
  </si>
  <si>
    <t>74°07'30.74"W</t>
  </si>
  <si>
    <t>74°07'30.17"W</t>
  </si>
  <si>
    <t>74°07'29.64"W</t>
  </si>
  <si>
    <t>74°07'35.65"W</t>
  </si>
  <si>
    <t>74°07'28.58"W</t>
  </si>
  <si>
    <t>74°07'24.02"W</t>
  </si>
  <si>
    <t>74°07'26.35"W</t>
  </si>
  <si>
    <t>74°07'25.41"W</t>
  </si>
  <si>
    <t>74°06'15.50"W</t>
  </si>
  <si>
    <t>74°06'15.93"W</t>
  </si>
  <si>
    <t>74°06'15.99"W</t>
  </si>
  <si>
    <t>74°06'38.17"W</t>
  </si>
  <si>
    <t>74°06'38.52"W</t>
  </si>
  <si>
    <t>74°06'39.09"W</t>
  </si>
  <si>
    <t>74°06'41.99"W</t>
  </si>
  <si>
    <t>74°06'43.96"W</t>
  </si>
  <si>
    <t>74°06'46.01"W</t>
  </si>
  <si>
    <t>74°06'45.78"W</t>
  </si>
  <si>
    <t>74°06'48.27"W</t>
  </si>
  <si>
    <t>74°06'50.07"W</t>
  </si>
  <si>
    <t>74°06'49.99"W</t>
  </si>
  <si>
    <t>74°06'55.16"W</t>
  </si>
  <si>
    <t>74°06'55.83"W</t>
  </si>
  <si>
    <t>CRS-RFU-0140</t>
  </si>
  <si>
    <t xml:space="preserve">KR 25 con CL 37 Sur </t>
  </si>
  <si>
    <t xml:space="preserve">Tv. 38 o KR 33 con DG 39 A Sur </t>
  </si>
  <si>
    <t xml:space="preserve">KR 45 con CL 29 Sur </t>
  </si>
  <si>
    <t>74°05'44.17"W</t>
  </si>
  <si>
    <t>74°05'49.92"W</t>
  </si>
  <si>
    <t>74°05'50.27"W</t>
  </si>
  <si>
    <t>74°06'03.04"W</t>
  </si>
  <si>
    <t>74°06'11.68"W</t>
  </si>
  <si>
    <t>74°06'11.35"W</t>
  </si>
  <si>
    <t>74°06'25.99"W</t>
  </si>
  <si>
    <t>74°06'29.43"W</t>
  </si>
  <si>
    <t>74°06'34.62"W</t>
  </si>
  <si>
    <t>74°06'35.53"W</t>
  </si>
  <si>
    <t>74°06'38.51"W</t>
  </si>
  <si>
    <t>74°06'44.96"W</t>
  </si>
  <si>
    <t>74°06'46.39"W</t>
  </si>
  <si>
    <t>74°06'59.59"W</t>
  </si>
  <si>
    <t>74°07'04.32"W</t>
  </si>
  <si>
    <t>74°07'08.38"W</t>
  </si>
  <si>
    <t>74°07'09.66"W</t>
  </si>
  <si>
    <t>74°07'10.90"W</t>
  </si>
  <si>
    <t>74°07'11.20"W</t>
  </si>
  <si>
    <t>74°07'16.64"W</t>
  </si>
  <si>
    <t>74°07'18.43"W</t>
  </si>
  <si>
    <t>74°07'27.15"W</t>
  </si>
  <si>
    <t>74°07'28.00"W</t>
  </si>
  <si>
    <t>74°06'09.95"W</t>
  </si>
  <si>
    <t>74°06'09.73"W</t>
  </si>
  <si>
    <t>74°06'09.64"W</t>
  </si>
  <si>
    <t>74°06'08.34"W</t>
  </si>
  <si>
    <t>74°06'08.67"W</t>
  </si>
  <si>
    <t>74°06'08.56"W</t>
  </si>
  <si>
    <t>74°06'08.45"W</t>
  </si>
  <si>
    <t>74°05'38.2"W</t>
  </si>
  <si>
    <t>74°05'39.82"W</t>
  </si>
  <si>
    <t>74°05'52.9812"W</t>
  </si>
  <si>
    <t>74°05'53.15"W</t>
  </si>
  <si>
    <t>74°05'53.25"W</t>
  </si>
  <si>
    <t>74°06'01.3658"W</t>
  </si>
  <si>
    <t>74°06'02.1635"W</t>
  </si>
  <si>
    <t>74°06'15.4872"W</t>
  </si>
  <si>
    <t>74°06'17.02"W</t>
  </si>
  <si>
    <t>74°06'23.64"W</t>
  </si>
  <si>
    <t>74°06'28.83"W</t>
  </si>
  <si>
    <t>74°06'29.41"W</t>
  </si>
  <si>
    <t>74°06'30.36"W</t>
  </si>
  <si>
    <t>74°06'31.78"W</t>
  </si>
  <si>
    <t>74°06'31.9"W</t>
  </si>
  <si>
    <t>74°06'31.93"W</t>
  </si>
  <si>
    <t>74°06'56.05"W</t>
  </si>
  <si>
    <t>74°06'42.89"W</t>
  </si>
  <si>
    <t>74°06'43.29"W</t>
  </si>
  <si>
    <t>74°06'53.01"W</t>
  </si>
  <si>
    <t>74°06'56.44"W</t>
  </si>
  <si>
    <t>74°07'04.37"W</t>
  </si>
  <si>
    <t>74°07'09.15"W</t>
  </si>
  <si>
    <t>74°07'12.58"W</t>
  </si>
  <si>
    <t>74°07'12.90"W</t>
  </si>
  <si>
    <t>74°07'13.02"W</t>
  </si>
  <si>
    <t>74°07'14.9"W</t>
  </si>
  <si>
    <t>74°07'15.63"W</t>
  </si>
  <si>
    <t>74°07'30.69"W</t>
  </si>
  <si>
    <t>74°07'33.30"W</t>
  </si>
  <si>
    <t>74°07'40.08"W</t>
  </si>
  <si>
    <t>74°07'46.13"W</t>
  </si>
  <si>
    <t>74°07'52.66"W</t>
  </si>
  <si>
    <t>74°07'56.26"W</t>
  </si>
  <si>
    <t>74°07'57.98"W</t>
  </si>
  <si>
    <t xml:space="preserve">AC 26 con KR 48 </t>
  </si>
  <si>
    <t>CL 62D Sur con KR 42A
DG 63 Sur con KR 44A
(Arborizadora Baja)</t>
  </si>
  <si>
    <t>4°32'57.11"N</t>
  </si>
  <si>
    <t>VÍa Quiba. KR 26 B BIS DG 76 sur</t>
  </si>
  <si>
    <t>VÍa Quiba. KR 26 C BIS Sur.</t>
  </si>
  <si>
    <t>04°37’29.2104”N</t>
  </si>
  <si>
    <t>04°40’41.4423”N</t>
  </si>
  <si>
    <t>DG 79 B KR 60</t>
  </si>
  <si>
    <t xml:space="preserve">04°42'04.0886"N </t>
  </si>
  <si>
    <t>TV 72 A DG 82 B</t>
  </si>
  <si>
    <t>TV 72 A DG 82 D</t>
  </si>
  <si>
    <t>AK 20 (AUTOPISTA NORTE) CL 87</t>
  </si>
  <si>
    <t xml:space="preserve">AUTOPISTA NORTE No. 87-53 </t>
  </si>
  <si>
    <t xml:space="preserve">AUTOPISTA NORTE No. 88-55 </t>
  </si>
  <si>
    <t>AK 20 (AUTOPISTA NORTE) CL 89 A</t>
  </si>
  <si>
    <t xml:space="preserve">KR 50 No. 90-12 </t>
  </si>
  <si>
    <t>DG 108 A KR 7</t>
  </si>
  <si>
    <t xml:space="preserve">Ak 7 CL 108 B. </t>
  </si>
  <si>
    <t xml:space="preserve">KR 13 A CL 113 </t>
  </si>
  <si>
    <t xml:space="preserve">KR 13 A CL 112 </t>
  </si>
  <si>
    <t xml:space="preserve">CL 122 KR 15 </t>
  </si>
  <si>
    <t xml:space="preserve">KR 15 CL 112  </t>
  </si>
  <si>
    <t>KR 17 CL 112</t>
  </si>
  <si>
    <t>KR 19 CL 112</t>
  </si>
  <si>
    <t xml:space="preserve">CL 161 KR 54  </t>
  </si>
  <si>
    <t xml:space="preserve">CL 152 KR 54 </t>
  </si>
  <si>
    <t xml:space="preserve">
CL 150 KR 54  </t>
  </si>
  <si>
    <t xml:space="preserve">CL 138 con KR 54 </t>
  </si>
  <si>
    <t>CL 137 KR 54</t>
  </si>
  <si>
    <t>CL 151 KR 15</t>
  </si>
  <si>
    <t>CL 147 KR 15</t>
  </si>
  <si>
    <t xml:space="preserve">CL 147 KR 15 </t>
  </si>
  <si>
    <t xml:space="preserve">CL 144 KR 15 </t>
  </si>
  <si>
    <t>CL 144 KR 15</t>
  </si>
  <si>
    <t xml:space="preserve">CL 140 KR 15 </t>
  </si>
  <si>
    <t xml:space="preserve"> DG 12A Sur KR 10 Bis</t>
  </si>
  <si>
    <t xml:space="preserve"> KR 10 CL 13 Sur  </t>
  </si>
  <si>
    <t xml:space="preserve">CL 13 Sur KR 14 </t>
  </si>
  <si>
    <t xml:space="preserve">CL 14 Sur KR 28 </t>
  </si>
  <si>
    <t>DG 16 SUR CON AUTOPISTA SUR</t>
  </si>
  <si>
    <t>KR 32 C DG 17 SUR</t>
  </si>
  <si>
    <t>KR 34 B DG 17 SUR</t>
  </si>
  <si>
    <t>KR 36 DG 17 SUR</t>
  </si>
  <si>
    <t>DG 17 SUR KR 34 C</t>
  </si>
  <si>
    <t>DG 17 SUR TV 39</t>
  </si>
  <si>
    <t>DG 17 SUR KR 39 C</t>
  </si>
  <si>
    <t>DG 16 SUR TV 40 A</t>
  </si>
  <si>
    <t>DG 17 SUR TV 41</t>
  </si>
  <si>
    <t>DG 17 SUR KR 41 A</t>
  </si>
  <si>
    <t>KR 50 con DG 16 Sur</t>
  </si>
  <si>
    <t>DG 16 SUR TV 45</t>
  </si>
  <si>
    <t>DG 16 SUR TV 46</t>
  </si>
  <si>
    <t>DG 17 SUR KR 48</t>
  </si>
  <si>
    <t>DG 17 SUR KR 48 A</t>
  </si>
  <si>
    <t>KR 51B DG 16 SUR</t>
  </si>
  <si>
    <t>DG 17 SUR KR 49 BIS</t>
  </si>
  <si>
    <t>DG 17 SUR KR 49 C</t>
  </si>
  <si>
    <t>DG 17 SUR KR 50 (TV 53)</t>
  </si>
  <si>
    <t xml:space="preserve">DG 2 Sur con CLL 55 </t>
  </si>
  <si>
    <t>CL 4 SUR TV 62</t>
  </si>
  <si>
    <t>CL 1 C KR 68</t>
  </si>
  <si>
    <t xml:space="preserve">CL 1 C KR 68 </t>
  </si>
  <si>
    <t>KR 68 B BIS AC 6</t>
  </si>
  <si>
    <t>AV LAS AMÉRICAS KR 68 D</t>
  </si>
  <si>
    <t>AC 6 KR 68D</t>
  </si>
  <si>
    <t xml:space="preserve">KR 68 G CL 8 </t>
  </si>
  <si>
    <t xml:space="preserve">AC 13 KR 69 F </t>
  </si>
  <si>
    <t>KR 25 CL 37 Sur</t>
  </si>
  <si>
    <t>KR 80 A CL 19 A</t>
  </si>
  <si>
    <t>KR 80 A CLL 19 A</t>
  </si>
  <si>
    <t xml:space="preserve"> KR 7 con CL 71 A SUR </t>
  </si>
  <si>
    <t>AV. BOYACÁ DG 59B</t>
  </si>
  <si>
    <t>AV. BOYACÁ CL 59 A SUR. En medio de las calzadas.</t>
  </si>
  <si>
    <t>AV. BOYACÁ CL 59 Sur. 20 m Aguas Abajo del Puente.</t>
  </si>
  <si>
    <t>QUEBRADA LIMAS
Tv. 29con CL 58C Sur. Humedal La Libélula</t>
  </si>
  <si>
    <t>AK 51  CON RÍO TUNJUELO</t>
  </si>
  <si>
    <t>AUTOPISTA SUR con TV 62 G y CL 57 D Sur.</t>
  </si>
  <si>
    <t xml:space="preserve">KR 51 No. 58A - 35 SUR </t>
  </si>
  <si>
    <t>KR 51 No. 58 A - 35 SUR</t>
  </si>
  <si>
    <t>DG 53 SUR con KR 60A</t>
  </si>
  <si>
    <t xml:space="preserve">DG 53 SUR con KR 60A </t>
  </si>
  <si>
    <t>AUTOPISTA SUR  CL 57 D SUR con KR 62</t>
  </si>
  <si>
    <t>AUTOPISTA SUR con KR 62</t>
  </si>
  <si>
    <t xml:space="preserve">KR 77G con CL 51A SUR </t>
  </si>
  <si>
    <t xml:space="preserve">KR 77G con CL 52A SUR </t>
  </si>
  <si>
    <t>CL 54 D SUR KR 77 G BIS</t>
  </si>
  <si>
    <t xml:space="preserve">KR 77H con  CL 58 C Sur  </t>
  </si>
  <si>
    <t>KR 73 B BIS D No- 56 B SUR</t>
  </si>
  <si>
    <t>KR 73 B BIS D No. 56 B SUR</t>
  </si>
  <si>
    <t xml:space="preserve">DG 53 Sur TV 79F  </t>
  </si>
  <si>
    <t xml:space="preserve">DG 54 Sur KR 81 B </t>
  </si>
  <si>
    <t xml:space="preserve">KR 77G Bis CL 54 D Sur </t>
  </si>
  <si>
    <t xml:space="preserve">KR 80 CL 59 C Sur </t>
  </si>
  <si>
    <t xml:space="preserve">CL 58 SUR con KR 81 B </t>
  </si>
  <si>
    <t>KR 78 F CL 58 D Sur</t>
  </si>
  <si>
    <t xml:space="preserve">KR 80 con CL 58 Sur </t>
  </si>
  <si>
    <t>KR 80 C CL 59  Sur</t>
  </si>
  <si>
    <t xml:space="preserve">KR 80 C CL 59  Sur </t>
  </si>
  <si>
    <t xml:space="preserve">KR 80-CL 58 F Sur </t>
  </si>
  <si>
    <t xml:space="preserve">KR 7 Este CL 46 B Sur </t>
  </si>
  <si>
    <t>RSA-T3-0160</t>
  </si>
  <si>
    <t>AK 30 CL 65</t>
  </si>
  <si>
    <t>04°39'39.10"N</t>
  </si>
  <si>
    <t>74°04'38.17"W</t>
  </si>
  <si>
    <t>RSA-T4-0035</t>
  </si>
  <si>
    <t>KR 68 H CL 87</t>
  </si>
  <si>
    <t>04°41'13.60"N</t>
  </si>
  <si>
    <t>RTU-T3-0310</t>
  </si>
  <si>
    <t>RTU-T3-0320</t>
  </si>
  <si>
    <t>RTU-T3-0360</t>
  </si>
  <si>
    <t>CL 59 Sur  No 60 A  - 84 detrás del conjunto residencial Pimientos de Madelena (Predio Isla del Sol)</t>
  </si>
  <si>
    <t>DG 51 A Sur  KR 60 A</t>
  </si>
  <si>
    <t>Autopista Sur TV 62 G,  115 metros aguas arriba detrás del conjunto residencial Portal de Madelena.</t>
  </si>
  <si>
    <t>RTU-T4-0228</t>
  </si>
  <si>
    <t>KR 71 B debajo del puente Av Villavicencio</t>
  </si>
  <si>
    <t>RTU-T4-0261</t>
  </si>
  <si>
    <t>KR 77 H CL 50 Sur</t>
  </si>
  <si>
    <t>RTU-T4-0360</t>
  </si>
  <si>
    <t xml:space="preserve">CL 56 Sur KR 73 B BIS </t>
  </si>
  <si>
    <t>RTU-T4-0370</t>
  </si>
  <si>
    <t>CL 56 BIS Sur KR 73 B BIS C</t>
  </si>
  <si>
    <t>RTU-T4-0455</t>
  </si>
  <si>
    <t>CL 56 A Sur KR 77 G</t>
  </si>
  <si>
    <t>74°10'18.94"W</t>
  </si>
  <si>
    <t>RTU-T4-0550</t>
  </si>
  <si>
    <t>CL 58 C Sur KR 77 G BIS</t>
  </si>
  <si>
    <t>74°10'29.50"W</t>
  </si>
  <si>
    <t>RTU-T4-0669</t>
  </si>
  <si>
    <t>CL 58 I BIS Sur KR 78</t>
  </si>
  <si>
    <t>RTU-T4-0681</t>
  </si>
  <si>
    <t>CL 58 I BIS Sur KR 78 F</t>
  </si>
  <si>
    <t>74°10’37.88’"W</t>
  </si>
  <si>
    <t>RTU-T4-0682</t>
  </si>
  <si>
    <t>74°10'37.92"W</t>
  </si>
  <si>
    <t>CL 58 G Sur KR 78 J</t>
  </si>
  <si>
    <t>74°10'38.09"W</t>
  </si>
  <si>
    <t>RTU-T4-0701</t>
  </si>
  <si>
    <t>CL 58 I KR 78 J Sur</t>
  </si>
  <si>
    <t>74°10'39.15"W</t>
  </si>
  <si>
    <t>CL 58 G Sur KR 78 M</t>
  </si>
  <si>
    <t>74°10'39.63"W</t>
  </si>
  <si>
    <t>RTU-T4-0720</t>
  </si>
  <si>
    <t xml:space="preserve">CL 58 G sur Entre KR 78 N BIS y 78 N </t>
  </si>
  <si>
    <t>74°10'39.96"W</t>
  </si>
  <si>
    <t>RTU-T4-0730</t>
  </si>
  <si>
    <t>CL 58 G sur Entre KR 78 N BIS y 78 N</t>
  </si>
  <si>
    <t>74°10'40.00"W</t>
  </si>
  <si>
    <t>RTU-T4-0760</t>
  </si>
  <si>
    <t>TV 79 A CL  58 BIS Sur</t>
  </si>
  <si>
    <t>74°10'37.74"W</t>
  </si>
  <si>
    <t>RTU-T4-0780</t>
  </si>
  <si>
    <t>KR 79 B CL 58 C Sur</t>
  </si>
  <si>
    <t>74°10'38.78"W</t>
  </si>
  <si>
    <t>RTU-T4-0781</t>
  </si>
  <si>
    <t>CL 58 Sur KR 79 B</t>
  </si>
  <si>
    <t>74°10'38.71"W</t>
  </si>
  <si>
    <t>RTU-T4-0810</t>
  </si>
  <si>
    <t>KR 79 C CL 58 Sur</t>
  </si>
  <si>
    <t>74°10'38.55"W</t>
  </si>
  <si>
    <t>RTU-T4-0870</t>
  </si>
  <si>
    <t>Debajo del Puente AK 80</t>
  </si>
  <si>
    <t>74°10'42.47"W</t>
  </si>
  <si>
    <t>74°10'42.13"W</t>
  </si>
  <si>
    <t>RTU-T4-0900</t>
  </si>
  <si>
    <t>KR 80 A CL 58 Sur</t>
  </si>
  <si>
    <t>74°10'43.99"W</t>
  </si>
  <si>
    <t>RTU-T4-0910</t>
  </si>
  <si>
    <t>CL 58 Sur KR 80 A</t>
  </si>
  <si>
    <t>74°10'45.32"W</t>
  </si>
  <si>
    <t>RTU-T4-1039</t>
  </si>
  <si>
    <t>KR 82 CL 62 Sur</t>
  </si>
  <si>
    <t>74°11'15.02"W</t>
  </si>
  <si>
    <t>RTU-T4-1041</t>
  </si>
  <si>
    <t>CL 65 B Sur KR 81 G</t>
  </si>
  <si>
    <t>74°11'17.72"W</t>
  </si>
  <si>
    <t>RTU-T4-1042</t>
  </si>
  <si>
    <t>CL 65 B Sur KR 81 I</t>
  </si>
  <si>
    <t>74°11'19.66"W</t>
  </si>
  <si>
    <t>QZA-RTU-0181</t>
  </si>
  <si>
    <t>KR 10 Este CL 47 Sur</t>
  </si>
  <si>
    <t>QZA-RTU-0182</t>
  </si>
  <si>
    <t>KR 9 Este CL 46 B Sur</t>
  </si>
  <si>
    <t>QZA-RTU-0184</t>
  </si>
  <si>
    <t>KR 9 A Este CL 46 B Sur</t>
  </si>
  <si>
    <t>QZA-RTU-0275</t>
  </si>
  <si>
    <t>KR 5 A BIS Este DG 45 BIS A Sur</t>
  </si>
  <si>
    <t>QZA-RTU-0278</t>
  </si>
  <si>
    <t>KR 5 Este CL 45 Sur</t>
  </si>
  <si>
    <t>QZA-RTU-0654</t>
  </si>
  <si>
    <t xml:space="preserve">KR 5 D CL 49 Sur </t>
  </si>
  <si>
    <t>QZA-RTU-0655</t>
  </si>
  <si>
    <t>QZA-RTU-0663</t>
  </si>
  <si>
    <t xml:space="preserve">CL 49 BIS 5 D </t>
  </si>
  <si>
    <t>04°45'38.14"N</t>
  </si>
  <si>
    <t>04°45'43.50"N</t>
  </si>
  <si>
    <t>04°45'52.22"N</t>
  </si>
  <si>
    <t>04°45'52.96"N</t>
  </si>
  <si>
    <t>04°46'15.10"N</t>
  </si>
  <si>
    <t>04°46'19.85"N</t>
  </si>
  <si>
    <t>074° 2'19.40"W</t>
  </si>
  <si>
    <t>074° 2'20.36"W</t>
  </si>
  <si>
    <t>074°02'26.53"W</t>
  </si>
  <si>
    <t>074°02'26.85"W</t>
  </si>
  <si>
    <t>074°02'27.49"W</t>
  </si>
  <si>
    <t>074°02'27.52"W</t>
  </si>
  <si>
    <t>RTO-T2-0030</t>
  </si>
  <si>
    <t>RTO-T2-0050</t>
  </si>
  <si>
    <t>RTO-T2-0080</t>
  </si>
  <si>
    <t>RTO-T2-0090</t>
  </si>
  <si>
    <t>CL 183 KR 19 A</t>
  </si>
  <si>
    <t>CL 185 KR 19 A</t>
  </si>
  <si>
    <t>CL 187 B BIS KR 19 A</t>
  </si>
  <si>
    <t>CL 161 KR 15
CONFLUENCIA CANAL SAN CRISTOBAL A RÍO TORCA</t>
  </si>
  <si>
    <t>CL 174 KR 15
CONFLUENCIA CANAL SERREZUELA AL RÍO TORCA</t>
  </si>
  <si>
    <t>CSF-RFU-0590</t>
  </si>
  <si>
    <t>CSF-RFU-0550</t>
  </si>
  <si>
    <t>KR 71 B (50 metros al occidente del puente vehicular Avenida Villavicencio) - Predios del Acueducto</t>
  </si>
  <si>
    <t>Debajo del Puente AK 80 S/N</t>
  </si>
  <si>
    <t>Quebrada Chuniza. Parque Cantarrana - KR 5 CL100C Sur</t>
  </si>
  <si>
    <t>CL 64 Sur con KR 16</t>
  </si>
  <si>
    <t>Confluencia Quebrada Chiguaza
KR 16B con CL 59B SUR</t>
  </si>
  <si>
    <t>QZE-RTU-F
(RTU-T3-0040)</t>
  </si>
  <si>
    <t>QZA-RTU-F
(RTU-T3-0060)</t>
  </si>
  <si>
    <t>RTU-T3-0080</t>
  </si>
  <si>
    <t>RTU-T3-0220</t>
  </si>
  <si>
    <t>RTU-T3-0221</t>
  </si>
  <si>
    <t>RTU-T3-0230</t>
  </si>
  <si>
    <t>RTU-T3-0240</t>
  </si>
  <si>
    <t>RTU-T3-0250</t>
  </si>
  <si>
    <t>RTU-T3-0251</t>
  </si>
  <si>
    <t>RTU-T3-0260</t>
  </si>
  <si>
    <t>RTU-T3-0270</t>
  </si>
  <si>
    <t>CVI-RTU-F
(RTU-T3-0290)</t>
  </si>
  <si>
    <t>RTU-T3-0300</t>
  </si>
  <si>
    <t>RTU-T3-0301</t>
  </si>
  <si>
    <t>RTU-T4-1180</t>
  </si>
  <si>
    <t>AK 30 CL 53</t>
  </si>
  <si>
    <t>AK 30 CL 64
Brazo Salitre-Esmeralda</t>
  </si>
  <si>
    <t>CJL-HCO-0470</t>
  </si>
  <si>
    <t>CJL-HCO-0510</t>
  </si>
  <si>
    <t>CJL-HCO-0520</t>
  </si>
  <si>
    <t>CJL-HCO-0530</t>
  </si>
  <si>
    <t>CJL-HCO-0560</t>
  </si>
  <si>
    <t>CJL-HCO-0570</t>
  </si>
  <si>
    <t>CJL-HCO-0590</t>
  </si>
  <si>
    <t>CJL-HCO-0610</t>
  </si>
  <si>
    <t>CJL-HCO-0620</t>
  </si>
  <si>
    <t>CJL-HCO-0630</t>
  </si>
  <si>
    <t>CJL-HCO-F</t>
  </si>
  <si>
    <t>04°42'22.68"N</t>
  </si>
  <si>
    <t>04°42'28.13"N</t>
  </si>
  <si>
    <t>04°42'28.84"N</t>
  </si>
  <si>
    <t>04°42'31.6840"N</t>
  </si>
  <si>
    <t>04°42'32.6436"N</t>
  </si>
  <si>
    <t>AC 127 KR 21</t>
  </si>
  <si>
    <t>AC 127 KR 46</t>
  </si>
  <si>
    <t>AC 127 KR 48</t>
  </si>
  <si>
    <t>AC 127 KR 51</t>
  </si>
  <si>
    <t>AC 127 KR 51 A</t>
  </si>
  <si>
    <t>AC 127 KR 52 A</t>
  </si>
  <si>
    <t>AC 127 KR 53 A</t>
  </si>
  <si>
    <t>AC 127 KR 54 A</t>
  </si>
  <si>
    <t>AC 127 KR 55</t>
  </si>
  <si>
    <t>QPR-CÑA-0020</t>
  </si>
  <si>
    <t>CÑA-CSU-0020</t>
  </si>
  <si>
    <t>CÑA-CSU-0030</t>
  </si>
  <si>
    <t>CÑA-CSU-F
 (CSU-RSA-0120)</t>
  </si>
  <si>
    <t>CSU-RSA-I</t>
  </si>
  <si>
    <t>CSU-RSA-0050</t>
  </si>
  <si>
    <t>CSU-RSA-0060</t>
  </si>
  <si>
    <t>CSU-RSA-0160</t>
  </si>
  <si>
    <t>KR 1 Este No. 47 A 10</t>
  </si>
  <si>
    <t>KR 1 (Av. Circunvalar) CL 45 B Bis</t>
  </si>
  <si>
    <t>CL 44 KR 2</t>
  </si>
  <si>
    <t>CL 57 KR 3 Este</t>
  </si>
  <si>
    <t>KR 4 Este CL 46</t>
  </si>
  <si>
    <t>KR 4 Este CL 45 F</t>
  </si>
  <si>
    <t>CL 39 TV 2</t>
  </si>
  <si>
    <t>Quebrada Pardo Rubio</t>
  </si>
  <si>
    <t xml:space="preserve">Canal Cataluña </t>
  </si>
  <si>
    <t>Canal Sucre</t>
  </si>
  <si>
    <t>04°37'59.97"N</t>
  </si>
  <si>
    <t>04°37'55.62"N</t>
  </si>
  <si>
    <t>04°37'54.54"N</t>
  </si>
  <si>
    <t>04°37'48.59"N</t>
  </si>
  <si>
    <t>04°38'15.63"N</t>
  </si>
  <si>
    <t>04°37'54.60"N</t>
  </si>
  <si>
    <t>04°37'53.63"N</t>
  </si>
  <si>
    <t>04°37'32.47"N</t>
  </si>
  <si>
    <t>Fuente Hídrica</t>
  </si>
  <si>
    <t>CBY-CSF-F
(CSF-RFU-0750)</t>
  </si>
  <si>
    <t>Confluencia Quebrada Yomasa al río Tunjuelo</t>
  </si>
  <si>
    <t>Confluencia Zajón de la Estrella - Q Trompeta
CL 64 Sur con KR 15B</t>
  </si>
  <si>
    <t>QSL-QHR-CE</t>
  </si>
  <si>
    <t>QZA-RTU-CE</t>
  </si>
  <si>
    <t>04°41' 03.8993"N</t>
  </si>
  <si>
    <t>KR 66 CL 90
Confluencia  Subcuenca Río Negro</t>
  </si>
  <si>
    <t>KR 66 CL 89
Canal Río Nuevo</t>
  </si>
  <si>
    <t>KR 72 B DG 81 C
Canal Bonanza</t>
  </si>
  <si>
    <t>CL 90 A KR 72 D
Entrega Subcuenca Humedal Córdoba</t>
  </si>
  <si>
    <t xml:space="preserve">Av Ciudad de Calí con DG 91  </t>
  </si>
  <si>
    <t>KR 95 D  CL 92</t>
  </si>
  <si>
    <t>74°10'37.72"W</t>
  </si>
  <si>
    <t>RTU-T4-0650</t>
  </si>
  <si>
    <t>RTU-T4-0708</t>
  </si>
  <si>
    <t xml:space="preserve"> 74°10'41.96"W</t>
  </si>
  <si>
    <t xml:space="preserve"> 74°10'41.67"W</t>
  </si>
  <si>
    <t xml:space="preserve"> 74°10'41.98"W</t>
  </si>
  <si>
    <t>RTU-T4-0882</t>
  </si>
  <si>
    <t>RTU-T4-0740</t>
  </si>
  <si>
    <t>CL 58 D Sur TV 79 A</t>
  </si>
  <si>
    <t xml:space="preserve"> 74°10'38.52"W</t>
  </si>
  <si>
    <t>QSL-QHR-0230</t>
  </si>
  <si>
    <t>QSL-QHR-0231</t>
  </si>
  <si>
    <t>QCU-QSL-F
(QSL-QHR-0200)</t>
  </si>
  <si>
    <t>QSL-QHR-0238</t>
  </si>
  <si>
    <t>QRE-QSL-F
(QSL-QHR-0255)</t>
  </si>
  <si>
    <t>CL 70 M Sur KR 18 R</t>
  </si>
  <si>
    <t>74°09'06.06"W</t>
  </si>
  <si>
    <t>KR 18 R CL 70 P Sur</t>
  </si>
  <si>
    <t>74°09'05.10"W</t>
  </si>
  <si>
    <t>TV 18 J BIS A CL 71 Sur</t>
  </si>
  <si>
    <t>74°09'02.94"W</t>
  </si>
  <si>
    <t>KR 18 I CL 70 I Sur</t>
  </si>
  <si>
    <t>74°08'57.93384" W</t>
  </si>
  <si>
    <t>QTM-QLI-F</t>
  </si>
  <si>
    <t>74°01'43.15"W</t>
  </si>
  <si>
    <t>74°08'03.18"W</t>
  </si>
  <si>
    <t>74°08’03.80"W</t>
  </si>
  <si>
    <t>74°07'34.95"W</t>
  </si>
  <si>
    <t>Canal El Redil</t>
  </si>
  <si>
    <t>CRE-RTO-0010</t>
  </si>
  <si>
    <t>AK 7 CL 175 (DEBAJO DEL PASO VEHICULAR)</t>
  </si>
  <si>
    <t>04°45'13.56"N</t>
  </si>
  <si>
    <t>74° 01'27.30"W</t>
  </si>
  <si>
    <t>RSA-T4-0680</t>
  </si>
  <si>
    <t>KR 153 CL 129 C</t>
  </si>
  <si>
    <t>CMO-HCO-0155</t>
  </si>
  <si>
    <t>KR 9 CL 108 A . Bajo el puente</t>
  </si>
  <si>
    <t>CMO-HCO-0157</t>
  </si>
  <si>
    <t xml:space="preserve">KR 12 CL 112 </t>
  </si>
  <si>
    <t>COR-HCO-0007</t>
  </si>
  <si>
    <t>HCO-RSA-0410</t>
  </si>
  <si>
    <t>HJA-RSA-0290</t>
  </si>
  <si>
    <t>HJA-RSA-0300</t>
  </si>
  <si>
    <t>Humedal Córdoba</t>
  </si>
  <si>
    <t>Humedal Juan Amarillo</t>
  </si>
  <si>
    <t>TV 60 CL 117</t>
  </si>
  <si>
    <t>CL 117 D KR 58</t>
  </si>
  <si>
    <t>CL 117 B KR 70 C. INTERIOR DEL HUMEDAL</t>
  </si>
  <si>
    <t>KR 125 130 D 57</t>
  </si>
  <si>
    <t>DG 131 125 B 75</t>
  </si>
  <si>
    <t>KR 129 129 B</t>
  </si>
  <si>
    <t>KR 102 126 A 52</t>
  </si>
  <si>
    <t>04°42'6.61"N</t>
  </si>
  <si>
    <t>74°04'21.14"W</t>
  </si>
  <si>
    <t>QCH-RTU-0115</t>
  </si>
  <si>
    <t>04°29'51,18"N</t>
  </si>
  <si>
    <t>74°06'50,79"W</t>
  </si>
  <si>
    <t>QZA-RTU-0070</t>
  </si>
  <si>
    <t>04°41'23.42"N</t>
  </si>
  <si>
    <t>04°41'29.04"N</t>
  </si>
  <si>
    <t>04°41'34.44"N</t>
  </si>
  <si>
    <t>04°41'37.2105"N</t>
  </si>
  <si>
    <t>74°07'33.74"W</t>
  </si>
  <si>
    <t>74°07'33.44"W</t>
  </si>
  <si>
    <t>04°39'32.04" N</t>
  </si>
  <si>
    <t>74°07'46.93" W</t>
  </si>
  <si>
    <t>DBO5 
(mg/L)</t>
  </si>
  <si>
    <t>SST    
(mg/L)</t>
  </si>
  <si>
    <t>Caudal
 (L/s)</t>
  </si>
  <si>
    <t>Tiempo de vertimiento
(Horas/día)</t>
  </si>
  <si>
    <t>C.C. DBO5      (Kg/día)</t>
  </si>
  <si>
    <t xml:space="preserve"> C.C. SST        (Kg/día)</t>
  </si>
  <si>
    <t>Tiempo de vertimiento
(dias/mes)</t>
  </si>
  <si>
    <t>Tiempo de vertimiento (meses/año)</t>
  </si>
  <si>
    <t>FM DBO5</t>
  </si>
  <si>
    <t>FM SST</t>
  </si>
  <si>
    <t>C.C. DBO5      (Kg/año)</t>
  </si>
  <si>
    <t xml:space="preserve"> C.C. SST        (Kg/año)</t>
  </si>
  <si>
    <t>Tipo de curva</t>
  </si>
  <si>
    <t>Latitud</t>
  </si>
  <si>
    <t>Longitud</t>
  </si>
  <si>
    <t>Observaciones</t>
  </si>
  <si>
    <t>Fecha del Muestreo</t>
  </si>
  <si>
    <t>Hora del Muestreo</t>
  </si>
  <si>
    <t>12:45 - 14:45</t>
  </si>
  <si>
    <t>A</t>
  </si>
  <si>
    <t>10:40 - 12:40</t>
  </si>
  <si>
    <t>08:10 - 10:10</t>
  </si>
  <si>
    <t>10:30 - 12:30</t>
  </si>
  <si>
    <t>09:00 - 11:00</t>
  </si>
  <si>
    <t>11:15 - 13:15</t>
  </si>
  <si>
    <t>10:00 - 12:00</t>
  </si>
  <si>
    <t>10:15 - 12:15</t>
  </si>
  <si>
    <t>B</t>
  </si>
  <si>
    <t>Total Carga Contaminante Línea base (Kg/año)</t>
  </si>
  <si>
    <t>Total Carga Contaminante (Kg/año)</t>
  </si>
  <si>
    <t>Código de la descarga SDA</t>
  </si>
  <si>
    <t>Localidad</t>
  </si>
  <si>
    <t>Usuario</t>
  </si>
  <si>
    <t>Representante Legal</t>
  </si>
  <si>
    <t>Cédula de ciudadanía</t>
  </si>
  <si>
    <t>NIT</t>
  </si>
  <si>
    <t>Teléfono</t>
  </si>
  <si>
    <t>Expediente</t>
  </si>
  <si>
    <t xml:space="preserve"> INFORMACION PERMISO DE VERTIMIENTO</t>
  </si>
  <si>
    <t>Vigente</t>
  </si>
  <si>
    <t>Resolución 
Número</t>
  </si>
  <si>
    <t>Fecha</t>
  </si>
  <si>
    <t>Vencimiento</t>
  </si>
  <si>
    <t>Tipo de Vertimiento</t>
  </si>
  <si>
    <t>Margen</t>
  </si>
  <si>
    <t>Origen del Agua Residual</t>
  </si>
  <si>
    <t>h (m)</t>
  </si>
  <si>
    <t>Coordenadas Cartesianas</t>
  </si>
  <si>
    <t xml:space="preserve">X </t>
  </si>
  <si>
    <t>Y</t>
  </si>
  <si>
    <t>---</t>
  </si>
  <si>
    <t>Usaquén</t>
  </si>
  <si>
    <t>899.999.094-1</t>
  </si>
  <si>
    <t>Si</t>
  </si>
  <si>
    <t>Continuo</t>
  </si>
  <si>
    <t>Derecho</t>
  </si>
  <si>
    <t>Izquierdo</t>
  </si>
  <si>
    <t>ACOMB</t>
  </si>
  <si>
    <t>ARD</t>
  </si>
  <si>
    <t>ARND</t>
  </si>
  <si>
    <t>ARI</t>
  </si>
  <si>
    <t>ALL</t>
  </si>
  <si>
    <t>----</t>
  </si>
  <si>
    <t>Chapinero</t>
  </si>
  <si>
    <t>Santafe</t>
  </si>
  <si>
    <t>Teusaquillo</t>
  </si>
  <si>
    <t>Barrios Unidos</t>
  </si>
  <si>
    <t>Engativá</t>
  </si>
  <si>
    <t>Suba</t>
  </si>
  <si>
    <t>E</t>
  </si>
  <si>
    <t>D</t>
  </si>
  <si>
    <t>F</t>
  </si>
  <si>
    <t>09:30 - 11:30</t>
  </si>
  <si>
    <t>10:45 - 12:45</t>
  </si>
  <si>
    <t>12:00 - 14:00</t>
  </si>
  <si>
    <t>11:00 - 13:00</t>
  </si>
  <si>
    <t>12:15 - 14:15</t>
  </si>
  <si>
    <t>Río</t>
  </si>
  <si>
    <t>Tramo</t>
  </si>
  <si>
    <r>
      <t>Cc</t>
    </r>
    <r>
      <rPr>
        <b/>
        <vertAlign val="subscript"/>
        <sz val="10"/>
        <color indexed="9"/>
        <rFont val="Arial Narrow"/>
        <family val="2"/>
      </rPr>
      <t>DBO5</t>
    </r>
  </si>
  <si>
    <r>
      <t>Cc</t>
    </r>
    <r>
      <rPr>
        <b/>
        <vertAlign val="subscript"/>
        <sz val="10"/>
        <color indexed="9"/>
        <rFont val="Arial Narrow"/>
        <family val="2"/>
      </rPr>
      <t>SST</t>
    </r>
  </si>
  <si>
    <t>Kg/año</t>
  </si>
  <si>
    <t>TORCA</t>
  </si>
  <si>
    <t>SALITRE</t>
  </si>
  <si>
    <t>FUCHA</t>
  </si>
  <si>
    <t>TUNJUELO</t>
  </si>
  <si>
    <t>08:00 - 10:00</t>
  </si>
  <si>
    <t>09:45 - 11:45</t>
  </si>
  <si>
    <t>09:40 - 11:40</t>
  </si>
  <si>
    <t>11:30 - 13:30</t>
  </si>
  <si>
    <t>09:15 - 11:15</t>
  </si>
  <si>
    <t>13:00 - 15:00</t>
  </si>
  <si>
    <t>C</t>
  </si>
  <si>
    <t>11:45 - 13:45</t>
  </si>
  <si>
    <t>ANAT</t>
  </si>
  <si>
    <t>Total Carga Contaminante Línea base subcuencas tramo III (Kg/año)</t>
  </si>
  <si>
    <t>Total Carga Contaminante subcuencas tramo III (Kg/año)</t>
  </si>
  <si>
    <t>Total Carga Contaminante subcuencas tramo IV (Kg/año)</t>
  </si>
  <si>
    <t>Total Carga Contaminante Puntos de vertimiento a PEDH Córdoba y Juan Amarillo (Kg/año)</t>
  </si>
  <si>
    <t>Total Carga Contaminante subcuencas tramo IV línea base (Kg/año)</t>
  </si>
  <si>
    <t>San Cristóbal</t>
  </si>
  <si>
    <t>ANAT y ACOMB</t>
  </si>
  <si>
    <t>Antonio Nariño</t>
  </si>
  <si>
    <t>Puente Aranda</t>
  </si>
  <si>
    <t>Kennedy</t>
  </si>
  <si>
    <t>Total Carga Contaminante Línea base subcuencas tramo II (Kg/año)</t>
  </si>
  <si>
    <t>Total Carga Contaminante subcuencas tramo II (Kg/año)</t>
  </si>
  <si>
    <t>Fontibón</t>
  </si>
  <si>
    <t>Total Carga Contaminante Línea base subcuencas tramo IV (Kg/año)</t>
  </si>
  <si>
    <t>G</t>
  </si>
  <si>
    <t>12:30 - 14:30</t>
  </si>
  <si>
    <t>13:20 - 15:20</t>
  </si>
  <si>
    <t>RFU-T4-0270</t>
  </si>
  <si>
    <t xml:space="preserve">  04°39'43.60"N</t>
  </si>
  <si>
    <t>74°08’51.59"W</t>
  </si>
  <si>
    <t>KR 96 G con Río Fucha (80 metros aguas abajo de la Estación de Bombeo Fontibón)</t>
  </si>
  <si>
    <t>Rafael Uribe Uribe</t>
  </si>
  <si>
    <t>07:30 - 09:30</t>
  </si>
  <si>
    <t>Los Mártires</t>
  </si>
  <si>
    <t>07:45 - 09:45</t>
  </si>
  <si>
    <t>RFU-T2-1240 (CCO-RFU-F)</t>
  </si>
  <si>
    <t>10:25 - 12:25</t>
  </si>
  <si>
    <t>Usme</t>
  </si>
  <si>
    <t>ALL - ARD</t>
  </si>
  <si>
    <t>Ciudad Bolívar</t>
  </si>
  <si>
    <t>Tunjuelito</t>
  </si>
  <si>
    <t>Bosa</t>
  </si>
  <si>
    <t>Total Carga Contaminante Línea base subcuencas tramo I (Kg/año)</t>
  </si>
  <si>
    <t>Total Carga Contaminante subcuencas tramo I (Kg/año)</t>
  </si>
  <si>
    <t>Total Carga Contaminante Línea base Quebrada Chigüaza (Kg/año)</t>
  </si>
  <si>
    <t>Total Carga Contaminante  Quebrada Chigüaza (Kg/año)</t>
  </si>
  <si>
    <t>Total Carga Contaminante Línea base Quebrada La Nutria y afluentes (Kg/año)</t>
  </si>
  <si>
    <t>Total Carga Contaminante  Quebrada Quebrada La Nutria y afluentes (Kg/año)</t>
  </si>
  <si>
    <t>Total Carga Contaminante Línea base Quebradas Hoya del Ramo y Santa Librada (Kg/año)</t>
  </si>
  <si>
    <t>Total Carga Contaminante  Quebradas Hoya del Ramo y Santa Librada (Kg/año)</t>
  </si>
  <si>
    <t>Total Carga Contaminante Línea base Quebradas Limas, Zanjón Derecho Limas y Honda (Kg/año)</t>
  </si>
  <si>
    <t>Total Carga Contaminante   Quebradas Limas, Zanjón Derecho Limas y Honda (Kg/año)</t>
  </si>
  <si>
    <t>Total Carga Contaminante Línea base Quebrada Trompeta (Kg/año)</t>
  </si>
  <si>
    <t>Total Carga Contaminante  Quebrada Trompeta  (Kg/año)</t>
  </si>
  <si>
    <t>11:45-13:45</t>
  </si>
  <si>
    <t>12:45-14:45</t>
  </si>
  <si>
    <t>10:10 - 12:10</t>
  </si>
  <si>
    <t>09:00-11:00</t>
  </si>
  <si>
    <t>11:30-13:30</t>
  </si>
  <si>
    <t>12:30-14:30</t>
  </si>
  <si>
    <t>10:00-12:00</t>
  </si>
  <si>
    <t>13:30-15:30</t>
  </si>
  <si>
    <t>11:00-13:00</t>
  </si>
  <si>
    <t>13:20-15:20</t>
  </si>
  <si>
    <t>13:15-15:15</t>
  </si>
  <si>
    <t>07:00-07:00</t>
  </si>
  <si>
    <t>Total Carga Contaminante Línea base Quebrada Chuniza (Kg/año)</t>
  </si>
  <si>
    <t>Total Carga Contaminante Quebrada Chuniza (Kg/año)</t>
  </si>
  <si>
    <t>Total Carga Contaminante Línea base Quebrada El Piojo (Kg/año)</t>
  </si>
  <si>
    <t>Total Carga Contaminante Quebrada El Piojo (Kg/año)</t>
  </si>
  <si>
    <t>12:00-14:00</t>
  </si>
  <si>
    <t>Total Carga Contaminante Línea base Quebrada Fucha (Kg/año)</t>
  </si>
  <si>
    <t>Total Carga Contaminante Quebrada Fucha (Kg/año)</t>
  </si>
  <si>
    <t>Total Carga Contaminante Línea base Quebrada Yomasa (Kg/año)</t>
  </si>
  <si>
    <t>Total Carga Contaminante Quebrada Yomasa (Kg/año)</t>
  </si>
  <si>
    <t>10:50 - 12:50</t>
  </si>
  <si>
    <t>Total Carga Contaminante Línea base Quebrada Hoya del Ramo (Kg/año)</t>
  </si>
  <si>
    <t>Total Carga Contaminante Quebrada Hoya del Ramo (Kg/año)</t>
  </si>
  <si>
    <t>Total Carga Contaminante Línea base Quebrada Santa Librada (Kg/año)</t>
  </si>
  <si>
    <t>Total Carga Contaminante Quebrada Santa Librada (Kg/año)</t>
  </si>
  <si>
    <t>Total Carga Contaminante Quebrada Trompeta  (Kg/año)</t>
  </si>
  <si>
    <t>Total Carga Contaminante Quebrada Chigüaza (Kg/año)</t>
  </si>
  <si>
    <t>12:15-14:15</t>
  </si>
  <si>
    <t>Total Carga Contaminante Quebrada La Nutria y Afluentes (Kg/año)</t>
  </si>
  <si>
    <t>Total Carga Contaminante Línea base Quebrada Limas y Afluentes (Kg/año)</t>
  </si>
  <si>
    <t>Total Carga Contaminante Quebrada Limas y Afluentes (Kg/año)</t>
  </si>
  <si>
    <t>Quebrada Zanjón de Derecho Limas</t>
  </si>
  <si>
    <t>11:40-13:40</t>
  </si>
  <si>
    <t>RTU-T4-0560</t>
  </si>
  <si>
    <t>KR 78 CL 58 Q Sur (Avenida del Río)</t>
  </si>
  <si>
    <t>04°36'06.04"N</t>
  </si>
  <si>
    <t>74°10'42.52"O</t>
  </si>
  <si>
    <t>100602.78</t>
  </si>
  <si>
    <t>88795.28</t>
  </si>
  <si>
    <t>10:45-12:45</t>
  </si>
  <si>
    <t>QHR-RTU-0163</t>
  </si>
  <si>
    <t>CL 57 BIS Sur DG 57 Sur (Predios Ladrillera Santafé)</t>
  </si>
  <si>
    <t>04°32'13.12"N</t>
  </si>
  <si>
    <t>74°07'00.20"O</t>
  </si>
  <si>
    <t>QSL-QHR-0130</t>
  </si>
  <si>
    <t>CL 75 B Sur KR 2 C Este (costado oriental puente peatonal)</t>
  </si>
  <si>
    <t xml:space="preserve">  04°30'51.21"N</t>
  </si>
  <si>
    <t>74°06'32.74"O</t>
  </si>
  <si>
    <t>04°43'54.5223"N</t>
  </si>
  <si>
    <t>04°43' 55.27"N</t>
  </si>
  <si>
    <t>04°43' 55.56"N</t>
  </si>
  <si>
    <t>04°43' 56.09"N</t>
  </si>
  <si>
    <t>04°43'57.349"N</t>
  </si>
  <si>
    <t>04°43'59.9313ʺN</t>
  </si>
  <si>
    <t>04°44'01.2000"N</t>
  </si>
  <si>
    <t>04°44'01.9375"N</t>
  </si>
  <si>
    <t>04°44'01.5363"N</t>
  </si>
  <si>
    <t>04°44'5.30159"N</t>
  </si>
  <si>
    <t>04°44'12.90"N</t>
  </si>
  <si>
    <t>04°44' 19.02"N</t>
  </si>
  <si>
    <t>04°44'19.19"N</t>
  </si>
  <si>
    <t>04°44΄21.84367”N</t>
  </si>
  <si>
    <t>04°44'31.01"N</t>
  </si>
  <si>
    <t>04°44'31.6334"N</t>
  </si>
  <si>
    <t>04°44'34.4529"N</t>
  </si>
  <si>
    <t>04°44'34.1604"N</t>
  </si>
  <si>
    <t>04°44΄42.37"N</t>
  </si>
  <si>
    <t>04°44΄45.45"N</t>
  </si>
  <si>
    <t>04°44΄49.83"N</t>
  </si>
  <si>
    <t>04°44΄50.42"N</t>
  </si>
  <si>
    <t>04°44΄50.58"N</t>
  </si>
  <si>
    <t>04°44΄56.88ʺN</t>
  </si>
  <si>
    <t>04°45'14.6752"N</t>
  </si>
  <si>
    <t>04°45'16.00"N</t>
  </si>
  <si>
    <t>04°45΄19.37"N</t>
  </si>
  <si>
    <t>04°45΄25.74"N</t>
  </si>
  <si>
    <t>04°45'25.72ʺN</t>
  </si>
  <si>
    <t>04°45'29.51”N</t>
  </si>
  <si>
    <t>04°45΄29.75"N</t>
  </si>
  <si>
    <t>04°45΄36.19"N</t>
  </si>
  <si>
    <t>74°01'54.1" W</t>
  </si>
  <si>
    <t>74°02'18.68"W</t>
  </si>
  <si>
    <t>74°02'15.89"W</t>
  </si>
  <si>
    <t>74°02'12.03"W</t>
  </si>
  <si>
    <t>74°02'11.0901"W</t>
  </si>
  <si>
    <t>74°02'12.40"W</t>
  </si>
  <si>
    <t>74°02΄13.96"W</t>
  </si>
  <si>
    <t>74°03'42.7732"W</t>
  </si>
  <si>
    <t>74°03'50.2423"W</t>
  </si>
  <si>
    <t>74°03'52.2948"W</t>
  </si>
  <si>
    <t>74° 3'52.3109"W</t>
  </si>
  <si>
    <t>74°03'56.8617"W</t>
  </si>
  <si>
    <t>74°03'57.5122"W</t>
  </si>
  <si>
    <t>74°04'16.2099"W</t>
  </si>
  <si>
    <t>74°04'25.0310"W</t>
  </si>
  <si>
    <t>74°04'32.1109"W</t>
  </si>
  <si>
    <t>74°04'43.5486"W</t>
  </si>
  <si>
    <t>74°04'44.14"W</t>
  </si>
  <si>
    <t>74°04'45.7667"W</t>
  </si>
  <si>
    <t>74°03’52.2948”W</t>
  </si>
  <si>
    <t>74°04'44.3288"W</t>
  </si>
  <si>
    <t>74°04'44.2761"W</t>
  </si>
  <si>
    <t>74°04'42.5506"W</t>
  </si>
  <si>
    <t>74°04'42.5129"W</t>
  </si>
  <si>
    <t>74°04'40.2548"W</t>
  </si>
  <si>
    <t>74°04'39.8335"W</t>
  </si>
  <si>
    <t>74°04'35.3821"W</t>
  </si>
  <si>
    <t>74°04'34.6974"W</t>
  </si>
  <si>
    <t>74°04'33.0345"W</t>
  </si>
  <si>
    <t>74°04'33.0293"W</t>
  </si>
  <si>
    <t>74°04'33.2215"W</t>
  </si>
  <si>
    <t>74°04'34.7023"W</t>
  </si>
  <si>
    <t>74°04'35.4236"W</t>
  </si>
  <si>
    <t>74°04'33.8997"W</t>
  </si>
  <si>
    <t>74°04'31.8132"W</t>
  </si>
  <si>
    <t>74°04'32.8414"W</t>
  </si>
  <si>
    <t>74°04’33.5525”W</t>
  </si>
  <si>
    <t>74°04'35.33"W</t>
  </si>
  <si>
    <t>74°04'35.25"W</t>
  </si>
  <si>
    <t>74°04'36.5748"W</t>
  </si>
  <si>
    <t>74°04'35.0685"W</t>
  </si>
  <si>
    <t xml:space="preserve">74°04'35.1480"W </t>
  </si>
  <si>
    <t>04°41' 02.2274"N</t>
  </si>
  <si>
    <t>04°41' 08.29"N</t>
  </si>
  <si>
    <t>04°41' 12.3714"N</t>
  </si>
  <si>
    <t>04°41' 13.1109"N</t>
  </si>
  <si>
    <t>04°41' 18.3616"N</t>
  </si>
  <si>
    <t>04°41' 20.3108"N</t>
  </si>
  <si>
    <t>04°41' 22.3748"N</t>
  </si>
  <si>
    <t>04°41'27.43"N</t>
  </si>
  <si>
    <t>74°04'43.95"W</t>
  </si>
  <si>
    <t>74°04'51.82"W</t>
  </si>
  <si>
    <t>04°41' 27.6439"N</t>
  </si>
  <si>
    <t>04°41' 34.8822"N</t>
  </si>
  <si>
    <t>04°41' 35.3149"N</t>
  </si>
  <si>
    <t>04°41' 36.7107"N</t>
  </si>
  <si>
    <t>04°41' 36.5150"N</t>
  </si>
  <si>
    <t>04°41' 36.6221"N</t>
  </si>
  <si>
    <t>04°41' 41.4238"N</t>
  </si>
  <si>
    <t>04°41' 42.6134"N</t>
  </si>
  <si>
    <t>04°41' 42.8046"N</t>
  </si>
  <si>
    <t>04°41' 47.1344"N</t>
  </si>
  <si>
    <t>04°41' 48.3005"N</t>
  </si>
  <si>
    <t>04°41' 57.7419"N</t>
  </si>
  <si>
    <t>04°42' 02.5191"N</t>
  </si>
  <si>
    <t>74°05'18.1048"W</t>
  </si>
  <si>
    <t>04°42'04.2133"N</t>
  </si>
  <si>
    <t>04°42'09.29"N</t>
  </si>
  <si>
    <t>04°42'11.1609"N</t>
  </si>
  <si>
    <t>04°42' 17.0711"N</t>
  </si>
  <si>
    <t>04°42' 21.0716"N</t>
  </si>
  <si>
    <t>04°42' 23.2529"N</t>
  </si>
  <si>
    <t>04°42' 39.0298"N</t>
  </si>
  <si>
    <t>04°42' 54.2463"N</t>
  </si>
  <si>
    <t>04°42' 56.5010"N</t>
  </si>
  <si>
    <t>04°42' 58.0937"N</t>
  </si>
  <si>
    <t>04°43' 03.5017"N</t>
  </si>
  <si>
    <t>04°43' 05.5998"N</t>
  </si>
  <si>
    <t>04°43' 12.2899"N</t>
  </si>
  <si>
    <t>04°43' 21.3993"N</t>
  </si>
  <si>
    <t>04°43' 25.3928"N</t>
  </si>
  <si>
    <t>04°44' 06.8693"N</t>
  </si>
  <si>
    <t>04°44'23.21"N</t>
  </si>
  <si>
    <t>74°07'20.05"W</t>
  </si>
  <si>
    <t>74°03'35.05"W</t>
  </si>
  <si>
    <t>74°03'39.67"W</t>
  </si>
  <si>
    <t>74°03'39.86"W</t>
  </si>
  <si>
    <t>74°03'42.35"W</t>
  </si>
  <si>
    <t>74°03'21.42"W</t>
  </si>
  <si>
    <t>74°03'29.36"W</t>
  </si>
  <si>
    <t>74°03'28.90"W</t>
  </si>
  <si>
    <t>74°03'43.22"W</t>
  </si>
  <si>
    <t>74°02'43.0774"W</t>
  </si>
  <si>
    <t>74°02'44.0859"W</t>
  </si>
  <si>
    <t>74°02'47.3806"W</t>
  </si>
  <si>
    <t>74°02'49.5746"W</t>
  </si>
  <si>
    <t>74°02'50.9718"W</t>
  </si>
  <si>
    <t>74°02'51.9394"W</t>
  </si>
  <si>
    <t>74°02'54.5120"W</t>
  </si>
  <si>
    <t>74°02'55.7304"W</t>
  </si>
  <si>
    <t>74°02'57.4775"W</t>
  </si>
  <si>
    <t>74°02'58.2693"W</t>
  </si>
  <si>
    <t>74°02'58.9004"W</t>
  </si>
  <si>
    <t>74°03'00.7041"W</t>
  </si>
  <si>
    <t>74°03'15.2416"W</t>
  </si>
  <si>
    <t>74°03'16.2522"W</t>
  </si>
  <si>
    <t>74°03'33.8981"W</t>
  </si>
  <si>
    <t>74°03'33.59"W</t>
  </si>
  <si>
    <t>74°03'33.14"W</t>
  </si>
  <si>
    <t>74°03'33.9030"W</t>
  </si>
  <si>
    <t>74°03'41.7113"W</t>
  </si>
  <si>
    <t>74°03'49.1364"W</t>
  </si>
  <si>
    <t>74°03'54.6364"W</t>
  </si>
  <si>
    <t>74°03'57.23"W</t>
  </si>
  <si>
    <t>74°04'10.7853"W</t>
  </si>
  <si>
    <t>74°04'17.0113"W</t>
  </si>
  <si>
    <t>74°04'20.6864"W</t>
  </si>
  <si>
    <t>74°01'51.00"W</t>
  </si>
  <si>
    <t>74°01'51.63"W</t>
  </si>
  <si>
    <t>04°41'03.30"N</t>
  </si>
  <si>
    <t>04°41'02.58"N</t>
  </si>
  <si>
    <t>04°41'02.01"N</t>
  </si>
  <si>
    <t>74°01'51.78"W</t>
  </si>
  <si>
    <t>04°41'09.85"N</t>
  </si>
  <si>
    <t>74°02'00.58"W</t>
  </si>
  <si>
    <t>74°02'02.41199"W</t>
  </si>
  <si>
    <t>74°02'05.90"W</t>
  </si>
  <si>
    <t>74°02'07.38"W</t>
  </si>
  <si>
    <t>74°02'15.3184"W</t>
  </si>
  <si>
    <t>04°41'20.50"N</t>
  </si>
  <si>
    <t>74°02'16.83"W</t>
  </si>
  <si>
    <t>74°02'22.04"W</t>
  </si>
  <si>
    <t>74°02'22.56"W</t>
  </si>
  <si>
    <t>74°02'24.00"W</t>
  </si>
  <si>
    <t>74°02'27.68"W</t>
  </si>
  <si>
    <t>74°02'28.2481"W</t>
  </si>
  <si>
    <t>74°02'37.22"W</t>
  </si>
  <si>
    <t>74°02'38.094" W</t>
  </si>
  <si>
    <t>04°41'41.22"N</t>
  </si>
  <si>
    <t>74°02'40.42"W</t>
  </si>
  <si>
    <t>04°41'41.83"N</t>
  </si>
  <si>
    <t>74°02'44.62"W</t>
  </si>
  <si>
    <t>74°02'47.78"W</t>
  </si>
  <si>
    <t>04°41'42.84"N</t>
  </si>
  <si>
    <t>74°02'47.84"W</t>
  </si>
  <si>
    <t>04°41'42.90"N</t>
  </si>
  <si>
    <t>74°02'48.06"W</t>
  </si>
  <si>
    <t>74°03'01.15"W</t>
  </si>
  <si>
    <t>74°03'01.11"W</t>
  </si>
  <si>
    <t>74°03'01.74"W</t>
  </si>
  <si>
    <t>04°41'47.96"N</t>
  </si>
  <si>
    <t>74°03'02.12"W</t>
  </si>
  <si>
    <t>04°41'49.52"N</t>
  </si>
  <si>
    <t>74°03'18.81"W</t>
  </si>
  <si>
    <t>74°03'28.2386"W</t>
  </si>
  <si>
    <t>04°41'46.43"N</t>
  </si>
  <si>
    <t>74°03'29.13"W</t>
  </si>
  <si>
    <t>04°41'46.96"N</t>
  </si>
  <si>
    <t>74°03'35.26"W</t>
  </si>
  <si>
    <t>04°41'47.67"N</t>
  </si>
  <si>
    <t>74°03'37.07"W</t>
  </si>
  <si>
    <t>74°03'47.18"W</t>
  </si>
  <si>
    <t>74°03'47.94"W</t>
  </si>
  <si>
    <t>04°41'53.16"N</t>
  </si>
  <si>
    <t>74°03'51.87"W</t>
  </si>
  <si>
    <t>04°41'54.48"N</t>
  </si>
  <si>
    <t>74°03'54.05"W</t>
  </si>
  <si>
    <t>74°03'55.3469"W</t>
  </si>
  <si>
    <t>04°42'08.98"N</t>
  </si>
  <si>
    <t>74°04'00.45"W</t>
  </si>
  <si>
    <t>74°03'10.4408"W</t>
  </si>
  <si>
    <t>74°03'10.53"W</t>
  </si>
  <si>
    <t>74°03'12.0820"W</t>
  </si>
  <si>
    <t>74°03'12.1757"W</t>
  </si>
  <si>
    <t>74°03'12.4209"W</t>
  </si>
  <si>
    <t>74°03'12.6321"W</t>
  </si>
  <si>
    <t>74°03'13.3715"W</t>
  </si>
  <si>
    <t>04°44'44.22"N</t>
  </si>
  <si>
    <t>74°03'13.67"W</t>
  </si>
  <si>
    <t>74°03'14.0043"W</t>
  </si>
  <si>
    <t>74°03'14.3858"W</t>
  </si>
  <si>
    <t>74°03'14.8399"W</t>
  </si>
  <si>
    <t>74°03'14.8161"W</t>
  </si>
  <si>
    <t>74°03'15.9801"W</t>
  </si>
  <si>
    <t>74°03'16.1637"W</t>
  </si>
  <si>
    <t>74°03'16.8213"W</t>
  </si>
  <si>
    <t>74°03'18.3694"W</t>
  </si>
  <si>
    <t>04°44'11.59"N</t>
  </si>
  <si>
    <t>74°03'18.48"W</t>
  </si>
  <si>
    <t>74°03'19.3541"W</t>
  </si>
  <si>
    <t>74°03'19.7910"W</t>
  </si>
  <si>
    <t>74°03'20.6997"W</t>
  </si>
  <si>
    <t>74°03'21.07"W</t>
  </si>
  <si>
    <t>04°43'56.01"N</t>
  </si>
  <si>
    <t>74°03'21.72"W</t>
  </si>
  <si>
    <t>74°03'21.6704"W</t>
  </si>
  <si>
    <t>04°43'50.24"N</t>
  </si>
  <si>
    <t>74°03'22.16"W</t>
  </si>
  <si>
    <t>74°03'22.4943"W</t>
  </si>
  <si>
    <t>04°43'42.15"N</t>
  </si>
  <si>
    <t>74°03'23.32"W</t>
  </si>
  <si>
    <t>04°43'40.83"N</t>
  </si>
  <si>
    <t>74°03'23.25"W</t>
  </si>
  <si>
    <t>74°03'25.3977"W</t>
  </si>
  <si>
    <t>74°03'25.7953"W</t>
  </si>
  <si>
    <t>74°03'26.9461"W</t>
  </si>
  <si>
    <t>74°03'29.0861"W</t>
  </si>
  <si>
    <t>04°43'22.18"N</t>
  </si>
  <si>
    <t>74°03'33.50"W</t>
  </si>
  <si>
    <t>74°03'37.5603"W</t>
  </si>
  <si>
    <t>74°03'37.1226"W</t>
  </si>
  <si>
    <t>04°43'11.14"N</t>
  </si>
  <si>
    <t>74°03'40.15"W</t>
  </si>
  <si>
    <t>04°43'10.73"N</t>
  </si>
  <si>
    <t>74°03'40.02"W</t>
  </si>
  <si>
    <t>74°03'42.9692"W</t>
  </si>
  <si>
    <t>74°03'43.7257"W</t>
  </si>
  <si>
    <t>74°03'51.7721"W</t>
  </si>
  <si>
    <t>04°42'44.74"N</t>
  </si>
  <si>
    <t>74°03'53.60"W</t>
  </si>
  <si>
    <t>74°02'24.96"W</t>
  </si>
  <si>
    <t>74°02'24.95"W</t>
  </si>
  <si>
    <t>74°02'26.0225"W</t>
  </si>
  <si>
    <t>74°02'27.15"W</t>
  </si>
  <si>
    <t>74°02'28.3487"W</t>
  </si>
  <si>
    <t>74°02'28.0959"W</t>
  </si>
  <si>
    <t>74°02'28.20"W</t>
  </si>
  <si>
    <t>74°02'28.33"W</t>
  </si>
  <si>
    <t>74°02'28.2389"W</t>
  </si>
  <si>
    <t>04°43'33.070"N</t>
  </si>
  <si>
    <t>74°02'28.38"W</t>
  </si>
  <si>
    <t>74°02'28.5663"W</t>
  </si>
  <si>
    <t>74°02'28.49"W</t>
  </si>
  <si>
    <t>04°43'31.14"N</t>
  </si>
  <si>
    <t>74°02'28.77"W</t>
  </si>
  <si>
    <t>04°43'25.44"N</t>
  </si>
  <si>
    <t>74°02'28.79"W</t>
  </si>
  <si>
    <t>04°43'24.88"N</t>
  </si>
  <si>
    <t>74°02'28.96"W</t>
  </si>
  <si>
    <t>04°43'24.75"N</t>
  </si>
  <si>
    <t>74°02'29.04"W</t>
  </si>
  <si>
    <t>74°02'29.27"W</t>
  </si>
  <si>
    <t>04°43'16.54"N</t>
  </si>
  <si>
    <t>74°02'29.64"W</t>
  </si>
  <si>
    <t>04°43'11.91"N</t>
  </si>
  <si>
    <t>74°02'34.09"W</t>
  </si>
  <si>
    <t>04°43'01.80"N</t>
  </si>
  <si>
    <t>74°02'35.35"W</t>
  </si>
  <si>
    <t>04°42'48.87"N</t>
  </si>
  <si>
    <t>74°02'06.65"W</t>
  </si>
  <si>
    <t>04°42'52.11"N</t>
  </si>
  <si>
    <t>74°02'16.92"W</t>
  </si>
  <si>
    <t>74°02'36.3668"W</t>
  </si>
  <si>
    <t>04°43'03.62"N</t>
  </si>
  <si>
    <t>74°02'49.26"W</t>
  </si>
  <si>
    <t>04°43'03.30"N</t>
  </si>
  <si>
    <t>74°02'49.67"W</t>
  </si>
  <si>
    <t>04°43'02.51"N</t>
  </si>
  <si>
    <t>74°02'49.83"W</t>
  </si>
  <si>
    <t>74°02'50.23"W</t>
  </si>
  <si>
    <t>74°02'50.98"W</t>
  </si>
  <si>
    <t>74°02'50.99"W</t>
  </si>
  <si>
    <t>74°02'51.8434"W</t>
  </si>
  <si>
    <t>74°02'52.6003"W</t>
  </si>
  <si>
    <t>74°02'52.1945"W</t>
  </si>
  <si>
    <t>74°02'52.4993"W</t>
  </si>
  <si>
    <t>04°42'41.09"N</t>
  </si>
  <si>
    <t>74°02'53.05"W</t>
  </si>
  <si>
    <t>74°02'53.6026"W</t>
  </si>
  <si>
    <t>74°02'53.86"W</t>
  </si>
  <si>
    <t>74°02'54.5506"W</t>
  </si>
  <si>
    <t>74°01'38.03"W</t>
  </si>
  <si>
    <t>74°01'39.67"W</t>
  </si>
  <si>
    <t>74°01'44.70"W</t>
  </si>
  <si>
    <t>74°01'44.76"W</t>
  </si>
  <si>
    <t>74°01'44.79"W</t>
  </si>
  <si>
    <t>74°02'00.13"W</t>
  </si>
  <si>
    <t>04°42'12.47"N</t>
  </si>
  <si>
    <t>74°02'11.68"W</t>
  </si>
  <si>
    <t>74°02'27.80"W</t>
  </si>
  <si>
    <t>74°02'34.6413"W</t>
  </si>
  <si>
    <t>74°02'39.8268"W</t>
  </si>
  <si>
    <t>74°03'06.19"W</t>
  </si>
  <si>
    <t>74°03'21.36"W</t>
  </si>
  <si>
    <t>04°42'25.43"N</t>
  </si>
  <si>
    <t>74°03'21.38"W</t>
  </si>
  <si>
    <t>04°42'25.45"N</t>
  </si>
  <si>
    <t>74°03'25.56"W</t>
  </si>
  <si>
    <t>04°42'26.17"N</t>
  </si>
  <si>
    <t>74°03'33.41"W</t>
  </si>
  <si>
    <t>04°42'27.51"N</t>
  </si>
  <si>
    <t>74°03'35.06"W</t>
  </si>
  <si>
    <t>04°42'27.80"N</t>
  </si>
  <si>
    <t>74°03'37.85"W</t>
  </si>
  <si>
    <t>74°03'42.31"W</t>
  </si>
  <si>
    <t>74°03'42.63"W</t>
  </si>
  <si>
    <t>04°42'29.06"N</t>
  </si>
  <si>
    <t>74°03'48.0310"W</t>
  </si>
  <si>
    <t>74°03'51.3901"W</t>
  </si>
  <si>
    <t>04°44’17.467"N</t>
  </si>
  <si>
    <t>74°06’34.775"W</t>
  </si>
  <si>
    <t>04°44’20.006"N</t>
  </si>
  <si>
    <t>74°06’38.442"W</t>
  </si>
  <si>
    <t>74°06’02.811"W</t>
  </si>
  <si>
    <t>04°43’32.639"N</t>
  </si>
  <si>
    <t>04°34'18.07" N</t>
  </si>
  <si>
    <t>04°34’22.91”N</t>
  </si>
  <si>
    <t>04°34'30.92”N</t>
  </si>
  <si>
    <t xml:space="preserve">04°34'29.6"N </t>
  </si>
  <si>
    <t>04°34' 38.30" N</t>
  </si>
  <si>
    <t>04°34'38.77"N</t>
  </si>
  <si>
    <t>04°34'47.00"N</t>
  </si>
  <si>
    <t xml:space="preserve">04°34'47.1"N </t>
  </si>
  <si>
    <t>04°34' 51.77" N</t>
  </si>
  <si>
    <t xml:space="preserve">04°34'54.0"N </t>
  </si>
  <si>
    <t xml:space="preserve">04°34'54.4"N </t>
  </si>
  <si>
    <t>04°35'04.88" N</t>
  </si>
  <si>
    <t>04°34'55.04" N</t>
  </si>
  <si>
    <t>04°35'27.08" N</t>
  </si>
  <si>
    <t xml:space="preserve"> 04°35'29.57"N</t>
  </si>
  <si>
    <t>04°35'31.16" N</t>
  </si>
  <si>
    <t xml:space="preserve">04°35'40.9"N </t>
  </si>
  <si>
    <t>04°35'41.90"N</t>
  </si>
  <si>
    <t>04°35'52.50"N</t>
  </si>
  <si>
    <t>04°35'54.31" N</t>
  </si>
  <si>
    <t>04°35'55.18"N</t>
  </si>
  <si>
    <t>04°35'56.62" N</t>
  </si>
  <si>
    <t>04°35'58.38"N</t>
  </si>
  <si>
    <t>04°36'04.94" N</t>
  </si>
  <si>
    <t>04°36'09.52" N</t>
  </si>
  <si>
    <t>04°36'11.66" N</t>
  </si>
  <si>
    <t>04°36'12.71"N</t>
  </si>
  <si>
    <t>04°36'15.11"N</t>
  </si>
  <si>
    <t>04°36'17.15" N</t>
  </si>
  <si>
    <t>04°36'17.65" N</t>
  </si>
  <si>
    <t>04°36'24.46"N</t>
  </si>
  <si>
    <t xml:space="preserve"> 74°07'09.37"W</t>
  </si>
  <si>
    <t>04°36'25.78" N</t>
  </si>
  <si>
    <t>04°36'26.45" N</t>
  </si>
  <si>
    <t>04°36'28.11" N</t>
  </si>
  <si>
    <t>04°36'32.37"N</t>
  </si>
  <si>
    <t>74°07'13.65"W</t>
  </si>
  <si>
    <t>04°36'34.14" N</t>
  </si>
  <si>
    <t>04°36'39.81" N</t>
  </si>
  <si>
    <t>74°07'18.31" W</t>
  </si>
  <si>
    <t>74°07'20.11"W</t>
  </si>
  <si>
    <t>74°07'20.63" W</t>
  </si>
  <si>
    <t>74°07'20.78"W</t>
  </si>
  <si>
    <t>04°36'47.09" N</t>
  </si>
  <si>
    <t>04°36'48.43" N</t>
  </si>
  <si>
    <t>04°36'49.94" N</t>
  </si>
  <si>
    <t>04°36'51.59" N</t>
  </si>
  <si>
    <t>04°36' 55.23" N</t>
  </si>
  <si>
    <t>04°37'00.06" N</t>
  </si>
  <si>
    <t>04°37'03.90"N</t>
  </si>
  <si>
    <t xml:space="preserve"> 74°07'28.60"W</t>
  </si>
  <si>
    <t>04°37'08.31" N</t>
  </si>
  <si>
    <t>04°37'11.82" N</t>
  </si>
  <si>
    <t>04°37'14.84" N</t>
  </si>
  <si>
    <t>04°37'14.03" N</t>
  </si>
  <si>
    <t>04°37'15.01" N</t>
  </si>
  <si>
    <t>74°07'33.09" W</t>
  </si>
  <si>
    <t>04°37'15.22"N</t>
  </si>
  <si>
    <t>74°07'31.75"W</t>
  </si>
  <si>
    <t>04°37'20.87" N</t>
  </si>
  <si>
    <t>04°37'26.15" N</t>
  </si>
  <si>
    <t>04°37'26.63"N</t>
  </si>
  <si>
    <t>04°37'28.81"N</t>
  </si>
  <si>
    <t>04°37'34.65"N</t>
  </si>
  <si>
    <t>04°37'37.58"N</t>
  </si>
  <si>
    <t>04°37'39.81"N</t>
  </si>
  <si>
    <t>04°37'44.89"N</t>
  </si>
  <si>
    <t>04°37'45.82"N</t>
  </si>
  <si>
    <t>04°37'47.80"N</t>
  </si>
  <si>
    <t>04°37'46.89"N</t>
  </si>
  <si>
    <t>04°37'54.41"N</t>
  </si>
  <si>
    <t>04°37'55.13"N</t>
  </si>
  <si>
    <t>04°37'58.01"N</t>
  </si>
  <si>
    <t>04°38'01.05"N</t>
  </si>
  <si>
    <t>04°38'01.31"N</t>
  </si>
  <si>
    <t>04°038'02.46"N</t>
  </si>
  <si>
    <t>04°038'02.53"N</t>
  </si>
  <si>
    <t>04°38'06.80"N</t>
  </si>
  <si>
    <t>04°38'07.67"N</t>
  </si>
  <si>
    <t xml:space="preserve"> 74°07'29.15"W</t>
  </si>
  <si>
    <t>04°38'09.99"N</t>
  </si>
  <si>
    <t>04°38'12.60"N</t>
  </si>
  <si>
    <t xml:space="preserve">04°38'27.39"N </t>
  </si>
  <si>
    <t>04°038'31.78"N</t>
  </si>
  <si>
    <t>04°38'39.84"N</t>
  </si>
  <si>
    <t>04°38'42.97"N</t>
  </si>
  <si>
    <t xml:space="preserve">04°38'44.7"N </t>
  </si>
  <si>
    <t>04°38’54.74’N</t>
  </si>
  <si>
    <t>74°07’45.29"W</t>
  </si>
  <si>
    <t>04°38’53.20"N</t>
  </si>
  <si>
    <t>74°07’44.97"W</t>
  </si>
  <si>
    <t>04°38'57.18"N</t>
  </si>
  <si>
    <t>74°07'53.62"W</t>
  </si>
  <si>
    <t>04°38’57.60”N</t>
  </si>
  <si>
    <t>74°07’54.39”W</t>
  </si>
  <si>
    <t xml:space="preserve">04°39'00.75"N </t>
  </si>
  <si>
    <t>74°07'57.82"W</t>
  </si>
  <si>
    <t>04°39'00.63"N</t>
  </si>
  <si>
    <t>74°07'57.61"W</t>
  </si>
  <si>
    <t xml:space="preserve">04°39'02.6"N </t>
  </si>
  <si>
    <t>74°07'59.2"W</t>
  </si>
  <si>
    <t>04°39'05.03"N</t>
  </si>
  <si>
    <t>74°07'58.95"W</t>
  </si>
  <si>
    <t>04°39'05.77"N</t>
  </si>
  <si>
    <t>74°08'00.18"W</t>
  </si>
  <si>
    <t>04°39'08.42"N</t>
  </si>
  <si>
    <t>74°08'00.66"W</t>
  </si>
  <si>
    <t>04°39'10.16"N</t>
  </si>
  <si>
    <t>74°08'01.77"W</t>
  </si>
  <si>
    <t>04°39'11.99"N</t>
  </si>
  <si>
    <t>74°08'02.98"W</t>
  </si>
  <si>
    <t>04°39'12.39"N</t>
  </si>
  <si>
    <t>04°39’12.20" N</t>
  </si>
  <si>
    <t>04°39’12.65"N</t>
  </si>
  <si>
    <t>04°39'18.71"N</t>
  </si>
  <si>
    <t>04°39'27.75"N</t>
  </si>
  <si>
    <t>04°39'24.99"N</t>
  </si>
  <si>
    <t>04°39'28.93"N</t>
  </si>
  <si>
    <t>04°39'31.28"N</t>
  </si>
  <si>
    <t>04°39'33.79"N</t>
  </si>
  <si>
    <t>04°39'50.47"N</t>
  </si>
  <si>
    <t>04°34'27.88"N</t>
  </si>
  <si>
    <t>04°34'28.04"N</t>
  </si>
  <si>
    <t>04°34'28.08"N</t>
  </si>
  <si>
    <t>04°34'39.57"N</t>
  </si>
  <si>
    <t>04°34'40.61"N</t>
  </si>
  <si>
    <t>04°34'41.68"N</t>
  </si>
  <si>
    <t>04°34'47.74"N</t>
  </si>
  <si>
    <t>04°34'51.94"N</t>
  </si>
  <si>
    <t>04°34'56.32"N</t>
  </si>
  <si>
    <t>04°34'56.53"N</t>
  </si>
  <si>
    <t>04°35'01.39"N</t>
  </si>
  <si>
    <t>04°35'04.97"N</t>
  </si>
  <si>
    <t>04°35'05.37"N</t>
  </si>
  <si>
    <t>04°35'16.07"N</t>
  </si>
  <si>
    <t>04°35'19.83"N</t>
  </si>
  <si>
    <t>04°35'19.92"N</t>
  </si>
  <si>
    <t>74°06'55.48"W</t>
  </si>
  <si>
    <t>04°35'33.90"N</t>
  </si>
  <si>
    <t>74°06'56.25"W</t>
  </si>
  <si>
    <t>74°06'56.43"W</t>
  </si>
  <si>
    <t>04°35'33.79"N</t>
  </si>
  <si>
    <t>04°34'59.53"N</t>
  </si>
  <si>
    <t xml:space="preserve">04°34'59.9"N </t>
  </si>
  <si>
    <t>04°34'59.90"N</t>
  </si>
  <si>
    <t>04°35'09.26"N</t>
  </si>
  <si>
    <t>04°35'11.49"N</t>
  </si>
  <si>
    <t>04°35'13.07"N</t>
  </si>
  <si>
    <t>04°35'18.17"N</t>
  </si>
  <si>
    <t>04°35'18.76"N</t>
  </si>
  <si>
    <t xml:space="preserve">04°35'21.5"N </t>
  </si>
  <si>
    <t>04°35'24.16"N</t>
  </si>
  <si>
    <t>04°35'35.97"N</t>
  </si>
  <si>
    <t>04°35'38.10"N</t>
  </si>
  <si>
    <t>04°35'38.25"N</t>
  </si>
  <si>
    <t>04°35'39.93"N</t>
  </si>
  <si>
    <t>04°35'42.93"N</t>
  </si>
  <si>
    <t>04°35'56.60"N</t>
  </si>
  <si>
    <t xml:space="preserve">04°35'48.12"N </t>
  </si>
  <si>
    <t xml:space="preserve">04°36'10.59"N </t>
  </si>
  <si>
    <t>04°36'08.24"N</t>
  </si>
  <si>
    <t>04°36'08.74"N</t>
  </si>
  <si>
    <t>04°36'16.73"N</t>
  </si>
  <si>
    <t>04°36'21.31"N</t>
  </si>
  <si>
    <t>04°36'21.61"N</t>
  </si>
  <si>
    <t>04°36'31.61"N</t>
  </si>
  <si>
    <t>04°36'40.32"N</t>
  </si>
  <si>
    <t>04°36'40.47"N</t>
  </si>
  <si>
    <t>04°36'44.93"N</t>
  </si>
  <si>
    <t>04°36'44.38"N</t>
  </si>
  <si>
    <t>04°36'43.11"N</t>
  </si>
  <si>
    <t>04°36'43.52"N</t>
  </si>
  <si>
    <t>04°36'43.67"N</t>
  </si>
  <si>
    <t>04°36'47.70"N</t>
  </si>
  <si>
    <t>04°36'49.02"N</t>
  </si>
  <si>
    <t>04°37'00.69"N</t>
  </si>
  <si>
    <t>04°37'05.05"N</t>
  </si>
  <si>
    <t>04°37'08.72"N</t>
  </si>
  <si>
    <t>04°37'09.78"N</t>
  </si>
  <si>
    <t>04°37'10.94"N</t>
  </si>
  <si>
    <t>04°37'11.31"N</t>
  </si>
  <si>
    <t>04°37'16.67"N</t>
  </si>
  <si>
    <t>04°37'18.58"N</t>
  </si>
  <si>
    <t>04°37'27.64"N</t>
  </si>
  <si>
    <t>04°37'28.07"N</t>
  </si>
  <si>
    <t>04°37'30.38"N</t>
  </si>
  <si>
    <t>04°38'15.88"N</t>
  </si>
  <si>
    <t>04°38'15.82"N</t>
  </si>
  <si>
    <t>04°38'16.26"N</t>
  </si>
  <si>
    <t>04°38'22.13"N</t>
  </si>
  <si>
    <t>04°38'23.15"N</t>
  </si>
  <si>
    <t>04°38'23.16"N</t>
  </si>
  <si>
    <t>04°38'23.39"N</t>
  </si>
  <si>
    <t xml:space="preserve">04°38'15.8"N </t>
  </si>
  <si>
    <t>04°38'16.56"N</t>
  </si>
  <si>
    <t>04°38'16.5409"N</t>
  </si>
  <si>
    <t>04°38'16.37"N</t>
  </si>
  <si>
    <t>04°38'16.32"N</t>
  </si>
  <si>
    <t>04°38'16.6101"N</t>
  </si>
  <si>
    <t>04°38'16.7217"N</t>
  </si>
  <si>
    <t>04°38'21.49"N</t>
  </si>
  <si>
    <t>74°06'06.11"W</t>
  </si>
  <si>
    <t>04°38'26.36"N</t>
  </si>
  <si>
    <t>04°38'30.6995"N</t>
  </si>
  <si>
    <t>04°38'30.71"N</t>
  </si>
  <si>
    <t>74°06'15.44"W</t>
  </si>
  <si>
    <t>04°38'32.75"N</t>
  </si>
  <si>
    <t>04°38'39.37"N</t>
  </si>
  <si>
    <t>04°38'45.09"N</t>
  </si>
  <si>
    <t>04°38'45.65"N</t>
  </si>
  <si>
    <t>04°38'45.63"N</t>
  </si>
  <si>
    <t>04°38'46.75"N</t>
  </si>
  <si>
    <t>74°06'31.72"W</t>
  </si>
  <si>
    <t>04°38'46.81"N</t>
  </si>
  <si>
    <t xml:space="preserve">04°38'48.7"N </t>
  </si>
  <si>
    <t>04°38'48.73"N</t>
  </si>
  <si>
    <t>04°38'53.58"N</t>
  </si>
  <si>
    <t>04°38'56.28"N</t>
  </si>
  <si>
    <t>04°38'57.21"N</t>
  </si>
  <si>
    <t>04°39'00.19"N</t>
  </si>
  <si>
    <t>74°06'52.55"W</t>
  </si>
  <si>
    <t>04°39'01.29"N</t>
  </si>
  <si>
    <t>04°39'01.60"N</t>
  </si>
  <si>
    <t>04°39'03.90"N</t>
  </si>
  <si>
    <t>04°39'04.94"N</t>
  </si>
  <si>
    <t>04°39'08.66"N</t>
  </si>
  <si>
    <t>74°07'00.55"W</t>
  </si>
  <si>
    <t>04°39'13.87"N</t>
  </si>
  <si>
    <t>04°39'17.28"N</t>
  </si>
  <si>
    <t>04°39'18.45"N</t>
  </si>
  <si>
    <t>74°07'09.25"W</t>
  </si>
  <si>
    <t>04°39'21.95"N</t>
  </si>
  <si>
    <t>04°39'22.36"N</t>
  </si>
  <si>
    <t>04°39'22.50"N</t>
  </si>
  <si>
    <t>04°39'23.33"N</t>
  </si>
  <si>
    <t xml:space="preserve">04°39'23.6"N </t>
  </si>
  <si>
    <t>04°39'24.17"N</t>
  </si>
  <si>
    <t>04°39'32.73" N</t>
  </si>
  <si>
    <t>04°39'41.17"N</t>
  </si>
  <si>
    <t>04°39'40.66"N</t>
  </si>
  <si>
    <t>04°39'34.87"N</t>
  </si>
  <si>
    <t>04°39'32.46"N</t>
  </si>
  <si>
    <t>04°39'29.56" N</t>
  </si>
  <si>
    <t>04°39'26.48"N</t>
  </si>
  <si>
    <t>04°39'21.29"N</t>
  </si>
  <si>
    <t>04°39'19.73"N</t>
  </si>
  <si>
    <t>04°28'29.23"N</t>
  </si>
  <si>
    <t>04°28' 29.17"N</t>
  </si>
  <si>
    <t>04°28'33.18"N</t>
  </si>
  <si>
    <t>04°28'36.49"N</t>
  </si>
  <si>
    <t xml:space="preserve"> 74°07'36.75"W</t>
  </si>
  <si>
    <t>04°28'39.51"N</t>
  </si>
  <si>
    <t>04°28'42.41"N</t>
  </si>
  <si>
    <t>04°28'47.27"N</t>
  </si>
  <si>
    <t>04°28'51.89"N</t>
  </si>
  <si>
    <t xml:space="preserve"> 74°07'23.54"W</t>
  </si>
  <si>
    <t>04°29'04.765"N</t>
  </si>
  <si>
    <t>74°07'13.989"W</t>
  </si>
  <si>
    <t>04°29'12.709"N</t>
  </si>
  <si>
    <t>74° 07'14.977"W</t>
  </si>
  <si>
    <t>04°29’27.89"N</t>
  </si>
  <si>
    <t>04°29’43.14"N</t>
  </si>
  <si>
    <t>74°07'15.725"W</t>
  </si>
  <si>
    <t>04°29'52.40"N</t>
  </si>
  <si>
    <t>04°30'09.63''N</t>
  </si>
  <si>
    <t>04°31'00.74"N</t>
  </si>
  <si>
    <t>74°07'26.0" W</t>
  </si>
  <si>
    <t>74°07'25.83"W</t>
  </si>
  <si>
    <t>04°33'17.77"N</t>
  </si>
  <si>
    <t>04°33'23.01"N</t>
  </si>
  <si>
    <t xml:space="preserve"> 74°08'03.39"W</t>
  </si>
  <si>
    <t>04°33'36.60"N</t>
  </si>
  <si>
    <t>74°08'18.0303"W</t>
  </si>
  <si>
    <t>04°33'49.00"N</t>
  </si>
  <si>
    <t>04°33'48.81"N</t>
  </si>
  <si>
    <t>04°34'05.20"N</t>
  </si>
  <si>
    <t>04°34'07.18"N</t>
  </si>
  <si>
    <t>04°34'14.22"N</t>
  </si>
  <si>
    <t>04°34'15.44"N</t>
  </si>
  <si>
    <t>04°34'33.63"N</t>
  </si>
  <si>
    <t>04°34'37.25"N</t>
  </si>
  <si>
    <t xml:space="preserve"> 74°08'29.94"W</t>
  </si>
  <si>
    <t>04°34'26.01"N</t>
  </si>
  <si>
    <t>74º8'54.54" W</t>
  </si>
  <si>
    <t>74°09'00.5" W</t>
  </si>
  <si>
    <t>74º09'00.184" W</t>
  </si>
  <si>
    <t xml:space="preserve">74°08'57.517"W </t>
  </si>
  <si>
    <t>74º09'00.044" W</t>
  </si>
  <si>
    <t>74º08'51.01" W</t>
  </si>
  <si>
    <t>74º08'49.391" W</t>
  </si>
  <si>
    <t>74º08'57.612" W</t>
  </si>
  <si>
    <t>74º09'04.819" W</t>
  </si>
  <si>
    <t>74°09'08.16"W</t>
  </si>
  <si>
    <t>04°35'07.62"N</t>
  </si>
  <si>
    <t>04°35'16.64"N</t>
  </si>
  <si>
    <t>74°09'01.48"W</t>
  </si>
  <si>
    <t>04°35'41.92"N</t>
  </si>
  <si>
    <t>74°09'11.40"W</t>
  </si>
  <si>
    <t>74º09'08.283" W</t>
  </si>
  <si>
    <t>04°36'22.14"N</t>
  </si>
  <si>
    <t xml:space="preserve"> 74°09'42.50"W</t>
  </si>
  <si>
    <t>74º08'59.58" W</t>
  </si>
  <si>
    <t>74º08'58.623" W</t>
  </si>
  <si>
    <t>74°08'59.4"W</t>
  </si>
  <si>
    <t>04°35'59.14"N</t>
  </si>
  <si>
    <t>74º09'18.8" W</t>
  </si>
  <si>
    <t>74°09'24.06" W</t>
  </si>
  <si>
    <t xml:space="preserve"> 74°09'30.04"W</t>
  </si>
  <si>
    <t>04°36'17.16"N</t>
  </si>
  <si>
    <t>74º09'30.605" W</t>
  </si>
  <si>
    <t>74º09'34.077" W</t>
  </si>
  <si>
    <t>74°09'42.20"W</t>
  </si>
  <si>
    <t>04°36'21.46"N</t>
  </si>
  <si>
    <t>04°36' 22.14"N</t>
  </si>
  <si>
    <t>04°36’18.94"N</t>
  </si>
  <si>
    <t>74°09'58.68"W</t>
  </si>
  <si>
    <t>04°36'18.56"N</t>
  </si>
  <si>
    <t>04°36'17.879"N</t>
  </si>
  <si>
    <t>04°36'16.96"N</t>
  </si>
  <si>
    <t>04°36'17.46"N</t>
  </si>
  <si>
    <t>74°10'02.44"W</t>
  </si>
  <si>
    <t>04°36'16.39"N</t>
  </si>
  <si>
    <t xml:space="preserve"> 74°10'02.88"W</t>
  </si>
  <si>
    <t>04°36'16.16"N</t>
  </si>
  <si>
    <t xml:space="preserve"> 74°10'03.51"W</t>
  </si>
  <si>
    <t>04°36'16.02"N</t>
  </si>
  <si>
    <t xml:space="preserve"> 74°10'03.87"W</t>
  </si>
  <si>
    <t>04°36'16.00"N</t>
  </si>
  <si>
    <t>04°36'15.55"N</t>
  </si>
  <si>
    <t>74°10'03.76"W</t>
  </si>
  <si>
    <t>04°36'15.39"N</t>
  </si>
  <si>
    <t>74°10'05.63"W</t>
  </si>
  <si>
    <t>04°36'15.25"N</t>
  </si>
  <si>
    <t>04°36'15.78"N</t>
  </si>
  <si>
    <t>04°36'12.26"N</t>
  </si>
  <si>
    <t>04°36'11.76"N</t>
  </si>
  <si>
    <t>74º10'18.935" W</t>
  </si>
  <si>
    <t>04°36'11.26"N</t>
  </si>
  <si>
    <t>74º10'20.001" W</t>
  </si>
  <si>
    <t>74º10'19.168" W</t>
  </si>
  <si>
    <t>74º10'22.5" W</t>
  </si>
  <si>
    <t>74º10'24.96" W</t>
  </si>
  <si>
    <t>74º10'29.541" W</t>
  </si>
  <si>
    <t>04°36'12.40"N</t>
  </si>
  <si>
    <t>74º10'34" W</t>
  </si>
  <si>
    <t>74º10'34.32" W</t>
  </si>
  <si>
    <t>04°36'16.71"N</t>
  </si>
  <si>
    <t>74º10'35.281" W</t>
  </si>
  <si>
    <t>04°36'18.51"N</t>
  </si>
  <si>
    <t>74º10'36.086" W</t>
  </si>
  <si>
    <t>04°36'21.06"N</t>
  </si>
  <si>
    <t>74º10'37.803" W</t>
  </si>
  <si>
    <t>74º10'37.878" W</t>
  </si>
  <si>
    <t>04°36’21.25’"N</t>
  </si>
  <si>
    <t>04°36'21.34"N</t>
  </si>
  <si>
    <t>74º10'36.9" W</t>
  </si>
  <si>
    <t>04°36'24.68"N</t>
  </si>
  <si>
    <t>74º10'39.12" W</t>
  </si>
  <si>
    <t>04°36'25.69"N</t>
  </si>
  <si>
    <t>04°36'27.81"N</t>
  </si>
  <si>
    <t>04°36'28.92"N</t>
  </si>
  <si>
    <t>04°36'29.04"N</t>
  </si>
  <si>
    <t>04°36'31.97"N</t>
  </si>
  <si>
    <t>04°36'33.44"N</t>
  </si>
  <si>
    <t>04°36'35.36"N</t>
  </si>
  <si>
    <t>04°36'35.41"N</t>
  </si>
  <si>
    <t>04°36'36.18"N</t>
  </si>
  <si>
    <t>04°36'39.37"N</t>
  </si>
  <si>
    <t>04°36'39.47"N</t>
  </si>
  <si>
    <t>04°36'39.49"N</t>
  </si>
  <si>
    <t>04°36'39.78"N</t>
  </si>
  <si>
    <t>04°36'39.83"N</t>
  </si>
  <si>
    <t>04°36'40.19"N</t>
  </si>
  <si>
    <t>04°36'40.33"N</t>
  </si>
  <si>
    <t>04°36'42.07"N</t>
  </si>
  <si>
    <t>04°36'43.00"N</t>
  </si>
  <si>
    <t>04°36'44.05"N</t>
  </si>
  <si>
    <t>04°36'43.43"N</t>
  </si>
  <si>
    <t>04°36'44.98"N</t>
  </si>
  <si>
    <t>04°36'45.33"N</t>
  </si>
  <si>
    <t>04°36'48.85"N</t>
  </si>
  <si>
    <t>04°36'48.96"N</t>
  </si>
  <si>
    <t>04°36'55.49"N</t>
  </si>
  <si>
    <t>04°36'48.03"N</t>
  </si>
  <si>
    <t>74º11'15.12" W</t>
  </si>
  <si>
    <t>04°36'45.53"N</t>
  </si>
  <si>
    <t>04°36'46.16"N</t>
  </si>
  <si>
    <t xml:space="preserve">04º37'02.46" N </t>
  </si>
  <si>
    <t>074º12'02.64" W</t>
  </si>
  <si>
    <t xml:space="preserve">04º37'02.651" N </t>
  </si>
  <si>
    <t>74º12'02.953" W</t>
  </si>
  <si>
    <t>74º13'00.86" W</t>
  </si>
  <si>
    <t>04°29'44.42"N</t>
  </si>
  <si>
    <t>74°06'27.81"W</t>
  </si>
  <si>
    <t>04°29'44.65"N</t>
  </si>
  <si>
    <t>74°06'27.87"W</t>
  </si>
  <si>
    <t>04°29'44.50"N</t>
  </si>
  <si>
    <t>74°06'27.98"W</t>
  </si>
  <si>
    <t xml:space="preserve">04°29'44.919" N </t>
  </si>
  <si>
    <t xml:space="preserve">74°06'27.990" W </t>
  </si>
  <si>
    <t xml:space="preserve">04°29'45.215" N </t>
  </si>
  <si>
    <t xml:space="preserve">74°06'28.337" W </t>
  </si>
  <si>
    <t>04°29'45.77"N</t>
  </si>
  <si>
    <t>74°06'32.61"W</t>
  </si>
  <si>
    <t>04°29'47.76"N</t>
  </si>
  <si>
    <t>74°06'38.60"W</t>
  </si>
  <si>
    <t>04°29'48.52"N</t>
  </si>
  <si>
    <t>74°06'44.07"W</t>
  </si>
  <si>
    <t>04°29'48.99"N</t>
  </si>
  <si>
    <t>74°06'46.50"W</t>
  </si>
  <si>
    <t>04°29'50.51"N</t>
  </si>
  <si>
    <t>74°06'47.91"W</t>
  </si>
  <si>
    <t>04°29'51.14"N</t>
  </si>
  <si>
    <t>74°06'50.17"W</t>
  </si>
  <si>
    <t>04°29'51.47"N</t>
  </si>
  <si>
    <t>74°06'50.59"W</t>
  </si>
  <si>
    <t>04°29'57.03"N</t>
  </si>
  <si>
    <t>74°07'03.79"W</t>
  </si>
  <si>
    <t>04°29’50.04”N</t>
  </si>
  <si>
    <t>74°07’16.08”W</t>
  </si>
  <si>
    <t>04°29'52.80"N</t>
  </si>
  <si>
    <t>74°07'11.17"W</t>
  </si>
  <si>
    <t>74°07'16.23"W</t>
  </si>
  <si>
    <t>04°29'50.09"N</t>
  </si>
  <si>
    <t>04°29'20.097" N</t>
  </si>
  <si>
    <t>74°06'27.900" W</t>
  </si>
  <si>
    <t>04°29'20.069" N</t>
  </si>
  <si>
    <t>74°06'29.207" W</t>
  </si>
  <si>
    <t>04°29'19.047" N</t>
  </si>
  <si>
    <t>74°06'30.244" W</t>
  </si>
  <si>
    <t>04°29'09.1104" N</t>
  </si>
  <si>
    <t>74°06'26.9784" W</t>
  </si>
  <si>
    <t>04°29'11.508"N</t>
  </si>
  <si>
    <t>74°06'29.7612"W</t>
  </si>
  <si>
    <t>04°29'15.451" N</t>
  </si>
  <si>
    <t>74°06'34.961" W</t>
  </si>
  <si>
    <t>04°29'13.640" N</t>
  </si>
  <si>
    <t>74°06'41.629" W</t>
  </si>
  <si>
    <t>04°29'14.532" N</t>
  </si>
  <si>
    <t>74°06'50.676" W</t>
  </si>
  <si>
    <t>04°29'15.213" N</t>
  </si>
  <si>
    <t>74°06'54.959" W</t>
  </si>
  <si>
    <t>04°29'15.276" N</t>
  </si>
  <si>
    <t>74°06'57.905" W</t>
  </si>
  <si>
    <t>04°29'15.157" N</t>
  </si>
  <si>
    <t>74°06'59.177" W</t>
  </si>
  <si>
    <t>04°29'15.833" N</t>
  </si>
  <si>
    <t>74°07'07.191" W</t>
  </si>
  <si>
    <t>04°29'16.019" N</t>
  </si>
  <si>
    <t>74°07'07.155" W</t>
  </si>
  <si>
    <t>04°29'16.755" N</t>
  </si>
  <si>
    <t>74°07'06.740" W</t>
  </si>
  <si>
    <t>04°29'12.503" N</t>
  </si>
  <si>
    <t>74°07'14.637" W</t>
  </si>
  <si>
    <t>04°28'58.30"N</t>
  </si>
  <si>
    <t>74°06'08.33"W</t>
  </si>
  <si>
    <t>04°29'01.02"N</t>
  </si>
  <si>
    <t>74°06'16.87"W</t>
  </si>
  <si>
    <t>04°29'00.76"N</t>
  </si>
  <si>
    <t>74°06'18.05"W</t>
  </si>
  <si>
    <t>04°28'59.87"N</t>
  </si>
  <si>
    <t>74°06'19.48"W</t>
  </si>
  <si>
    <t>04°28'47.74"N</t>
  </si>
  <si>
    <t>04°29´59.78”N</t>
  </si>
  <si>
    <t>04°29'59.88"N</t>
  </si>
  <si>
    <t>04°30'05.63"N</t>
  </si>
  <si>
    <t>74°06'01.73"W</t>
  </si>
  <si>
    <t>04°30'12.93"N</t>
  </si>
  <si>
    <t>74°06'07.46"W</t>
  </si>
  <si>
    <t>04°30'13.91"N</t>
  </si>
  <si>
    <t>74°06'08.47"W</t>
  </si>
  <si>
    <t>04°30'15.20"N</t>
  </si>
  <si>
    <t>74°06'09.34"W</t>
  </si>
  <si>
    <t>04°30'20.18"N</t>
  </si>
  <si>
    <t>04°30'21.48"N</t>
  </si>
  <si>
    <t>04°30'21.88"N</t>
  </si>
  <si>
    <t>04°30'21.59"N</t>
  </si>
  <si>
    <t>74°06'24.30"W</t>
  </si>
  <si>
    <t>04°30'21.54"N</t>
  </si>
  <si>
    <t>74°06'25.56"W</t>
  </si>
  <si>
    <t>04°30'21.94"N</t>
  </si>
  <si>
    <t>74°06'29.76"W</t>
  </si>
  <si>
    <t>04°30'24.20"N</t>
  </si>
  <si>
    <t>04°30´25.83”N</t>
  </si>
  <si>
    <t>74°06´50.40”W</t>
  </si>
  <si>
    <t>04°30´26.29”N</t>
  </si>
  <si>
    <t>74°06´50.09”W</t>
  </si>
  <si>
    <t>04°30´22.72"N</t>
  </si>
  <si>
    <t>74°07´10.27"W</t>
  </si>
  <si>
    <t>04°30´15.84"N</t>
  </si>
  <si>
    <t>74°07´22.27"W</t>
  </si>
  <si>
    <t>04°30´15.74"N</t>
  </si>
  <si>
    <t>74°07´22.56"W</t>
  </si>
  <si>
    <t>04°30'14.81"N</t>
  </si>
  <si>
    <t>74°07'27.82"W</t>
  </si>
  <si>
    <t>04°31'58.15"N</t>
  </si>
  <si>
    <t>04°31'40.43"N</t>
  </si>
  <si>
    <t>04°32'02.90"N</t>
  </si>
  <si>
    <t>04°32'02.70"N</t>
  </si>
  <si>
    <t>04°32'02.37"N</t>
  </si>
  <si>
    <t>04°32'04.41"N</t>
  </si>
  <si>
    <t>04°32'04.64"N</t>
  </si>
  <si>
    <t>04°32'05.14"N</t>
  </si>
  <si>
    <t>04°32'04.76"N</t>
  </si>
  <si>
    <t>74°06'39.54"W</t>
  </si>
  <si>
    <t>04°32'04.97"N</t>
  </si>
  <si>
    <t>74°06'40.21"W</t>
  </si>
  <si>
    <t>04°32'03.98"N</t>
  </si>
  <si>
    <t>04°32'09.81"N</t>
  </si>
  <si>
    <t>04°32'09.83"N</t>
  </si>
  <si>
    <t>04°32'10.09"N</t>
  </si>
  <si>
    <t>04°32'10.02"N</t>
  </si>
  <si>
    <t>04°32'10.91"N</t>
  </si>
  <si>
    <t>04°32'10.43"N</t>
  </si>
  <si>
    <t>04°32'10.53"N</t>
  </si>
  <si>
    <t>04°32'08.52"N</t>
  </si>
  <si>
    <t>74°07'10.03"W</t>
  </si>
  <si>
    <t>04°32'07.89"N</t>
  </si>
  <si>
    <t>74°07'10.09"W</t>
  </si>
  <si>
    <t>04°30'54.10"N</t>
  </si>
  <si>
    <t>04°30'53.52"N</t>
  </si>
  <si>
    <t>74°05'18.02"W</t>
  </si>
  <si>
    <t>74°05'19.01"W</t>
  </si>
  <si>
    <t>04°30'52.00"N</t>
  </si>
  <si>
    <t>74°05'26.42"W</t>
  </si>
  <si>
    <t>04°30'51.90"N</t>
  </si>
  <si>
    <t>74°05'27.84"W</t>
  </si>
  <si>
    <t>04°30'51.64"N</t>
  </si>
  <si>
    <t>74°05'29.78"W</t>
  </si>
  <si>
    <t>04°30'50.90"N</t>
  </si>
  <si>
    <t>74°05'35.61"W</t>
  </si>
  <si>
    <t>04°31'05.50"N</t>
  </si>
  <si>
    <t>04°31'17.47"N</t>
  </si>
  <si>
    <t>74°06'58.01"W</t>
  </si>
  <si>
    <t>04°31'17.36"N</t>
  </si>
  <si>
    <t>74°06'58.03"W</t>
  </si>
  <si>
    <t>04°31'26.71"N</t>
  </si>
  <si>
    <t>74°07'01.36"W</t>
  </si>
  <si>
    <t>04°31'42.95"N</t>
  </si>
  <si>
    <t>74°07'13.28"W</t>
  </si>
  <si>
    <t>04°31'47.3"N</t>
  </si>
  <si>
    <t xml:space="preserve"> 74°07'15.90"W</t>
  </si>
  <si>
    <t>04°32'04.72"N</t>
  </si>
  <si>
    <t>04°32'07.42"N</t>
  </si>
  <si>
    <t>04°32'15.66"N</t>
  </si>
  <si>
    <t>04°31'58.31"N</t>
  </si>
  <si>
    <t>74°08'32.72"W</t>
  </si>
  <si>
    <t>04°31'58.62"N</t>
  </si>
  <si>
    <t>74°08'32.90"W</t>
  </si>
  <si>
    <t>04°31'58.71"N</t>
  </si>
  <si>
    <t>74°08'32.69"W</t>
  </si>
  <si>
    <t>04°31'59.56"N</t>
  </si>
  <si>
    <t>74°08'31.54"W</t>
  </si>
  <si>
    <t>04°31'59.54"N</t>
  </si>
  <si>
    <t>04°32'02.95"N</t>
  </si>
  <si>
    <t>74°08'28.36"W</t>
  </si>
  <si>
    <t>04°32'06.48"N</t>
  </si>
  <si>
    <t>74°08'24.80"W</t>
  </si>
  <si>
    <t>04°32'07.65"N</t>
  </si>
  <si>
    <t>74°08'24.02"W</t>
  </si>
  <si>
    <t>04°32'09.96"N</t>
  </si>
  <si>
    <t>74°08'22.63"W</t>
  </si>
  <si>
    <t>04°32'11.52"N</t>
  </si>
  <si>
    <t>74°08'21.87"W</t>
  </si>
  <si>
    <t>04°32'11.51"N</t>
  </si>
  <si>
    <t>74°08'22.29"W</t>
  </si>
  <si>
    <t>04°32'14.97"N</t>
  </si>
  <si>
    <t>74°08'21.48"W</t>
  </si>
  <si>
    <t>04°32'15.25"N</t>
  </si>
  <si>
    <t>74°08'21.25"W</t>
  </si>
  <si>
    <t>04°32'17.89"N</t>
  </si>
  <si>
    <t>74°08'19.81"W</t>
  </si>
  <si>
    <t>04°32'19.84"N</t>
  </si>
  <si>
    <t>74°08'18.57"W</t>
  </si>
  <si>
    <t>04°32'21.56"N</t>
  </si>
  <si>
    <t>74°08'17.92"W</t>
  </si>
  <si>
    <t>04°32'25.42"N</t>
  </si>
  <si>
    <t>74°08'01.88"W</t>
  </si>
  <si>
    <t>04°32'22.80"N</t>
  </si>
  <si>
    <t xml:space="preserve"> 74°05'00.40"W</t>
  </si>
  <si>
    <t xml:space="preserve"> 74°05'00.50"W</t>
  </si>
  <si>
    <t>04°32'22.70"N</t>
  </si>
  <si>
    <t>04°32'13.37"N</t>
  </si>
  <si>
    <t>04°32'25.95"N</t>
  </si>
  <si>
    <t>04°32'16.20"N</t>
  </si>
  <si>
    <t xml:space="preserve"> 74°05'03.90"W</t>
  </si>
  <si>
    <t>04°32'18.20"N</t>
  </si>
  <si>
    <t xml:space="preserve"> 74°05'05.70"W</t>
  </si>
  <si>
    <t>04°32'27.19"N</t>
  </si>
  <si>
    <t xml:space="preserve"> 74°05'14.38"W</t>
  </si>
  <si>
    <t>04°32'27.83"N</t>
  </si>
  <si>
    <t xml:space="preserve"> 74°05'14.97"W</t>
  </si>
  <si>
    <t>04°32'28.98"N</t>
  </si>
  <si>
    <t xml:space="preserve"> 74°05'16.32"W</t>
  </si>
  <si>
    <t>04°32'31.40"N</t>
  </si>
  <si>
    <t>04°32'31.07"N</t>
  </si>
  <si>
    <t xml:space="preserve"> 74°05'21.35"W</t>
  </si>
  <si>
    <t>04°32'32.56"N</t>
  </si>
  <si>
    <t>74°05'22.87"W</t>
  </si>
  <si>
    <t>04°32'33.82"N</t>
  </si>
  <si>
    <t>74°05'24.40"W</t>
  </si>
  <si>
    <t>04°32'34.80"N</t>
  </si>
  <si>
    <t xml:space="preserve"> 74°05'25.20"W</t>
  </si>
  <si>
    <t>04°32'33.75"N</t>
  </si>
  <si>
    <t>74°05'24.66"W</t>
  </si>
  <si>
    <t>04°32'35.80"N</t>
  </si>
  <si>
    <t xml:space="preserve"> 74°05'30.81"W</t>
  </si>
  <si>
    <t>04°32'36.24"N</t>
  </si>
  <si>
    <t xml:space="preserve"> 74°05'30.78"W</t>
  </si>
  <si>
    <t>04°32'36.04"N</t>
  </si>
  <si>
    <t xml:space="preserve"> 74°05'31.03"W</t>
  </si>
  <si>
    <t>04°32'38.10"N</t>
  </si>
  <si>
    <t xml:space="preserve"> 74°05'33.18"W</t>
  </si>
  <si>
    <t>04°32'40.95"N</t>
  </si>
  <si>
    <t>74°05'37.18"W</t>
  </si>
  <si>
    <t>04°32'42.31"N</t>
  </si>
  <si>
    <t>74°05'39.29"W</t>
  </si>
  <si>
    <t>04°32'42.54"N</t>
  </si>
  <si>
    <t xml:space="preserve"> 74°05'39.25"W</t>
  </si>
  <si>
    <t>04°32'46.15"N</t>
  </si>
  <si>
    <t xml:space="preserve"> 74°05'46.53"W</t>
  </si>
  <si>
    <t>04°32'46.18"N</t>
  </si>
  <si>
    <t xml:space="preserve"> 74°05'46.73"W</t>
  </si>
  <si>
    <t>04°32'46.08"N</t>
  </si>
  <si>
    <t>04°32'46.57"N</t>
  </si>
  <si>
    <t xml:space="preserve"> 74°05'46.89"W</t>
  </si>
  <si>
    <t>04°32'47.20"N</t>
  </si>
  <si>
    <t>74°05'47.00"W</t>
  </si>
  <si>
    <t>04°32'47.49"N</t>
  </si>
  <si>
    <t xml:space="preserve"> 74°05'48.27"W</t>
  </si>
  <si>
    <t>04°32'47.84"N</t>
  </si>
  <si>
    <t xml:space="preserve"> 74°05'49.51"W</t>
  </si>
  <si>
    <t>04°32'48.73"N</t>
  </si>
  <si>
    <t xml:space="preserve"> 74°05'50.57"W</t>
  </si>
  <si>
    <t>04°32'48.57"N</t>
  </si>
  <si>
    <t xml:space="preserve"> 74°05'50.69"W</t>
  </si>
  <si>
    <t>04°32'50.49"N</t>
  </si>
  <si>
    <t xml:space="preserve"> 74°05'53.90"W</t>
  </si>
  <si>
    <t>04°32'52.91"N</t>
  </si>
  <si>
    <t xml:space="preserve"> 74°06'01.43"W</t>
  </si>
  <si>
    <t>04°32'54.98"N</t>
  </si>
  <si>
    <t xml:space="preserve"> 74°06'03.36"W</t>
  </si>
  <si>
    <t>74°06'03.18"W</t>
  </si>
  <si>
    <t>04°32'57.15"N</t>
  </si>
  <si>
    <t xml:space="preserve"> 74°06'03.23"W</t>
  </si>
  <si>
    <t>04°32'55.98"N</t>
  </si>
  <si>
    <t xml:space="preserve"> 74°06'05.39"W</t>
  </si>
  <si>
    <t>04°32'47.99"N</t>
  </si>
  <si>
    <t>74°06'10.24"W</t>
  </si>
  <si>
    <t>04°32'49.01"N</t>
  </si>
  <si>
    <t xml:space="preserve"> 74°06'13.98"W</t>
  </si>
  <si>
    <t>04°32'58.09"N</t>
  </si>
  <si>
    <t xml:space="preserve"> 74°06'18.08"W</t>
  </si>
  <si>
    <t>04°33'10.90"N</t>
  </si>
  <si>
    <t xml:space="preserve"> 74°06'27.99"W</t>
  </si>
  <si>
    <t>04°33'10.84"N</t>
  </si>
  <si>
    <t xml:space="preserve"> 74°06'28.56"W</t>
  </si>
  <si>
    <t>04°33'09.28"N</t>
  </si>
  <si>
    <t xml:space="preserve"> 74°06'30.18"W</t>
  </si>
  <si>
    <t>04°33'10.38"N</t>
  </si>
  <si>
    <t xml:space="preserve"> 74°06'34.43"W</t>
  </si>
  <si>
    <t>04°33'10.46"N</t>
  </si>
  <si>
    <t xml:space="preserve"> 74°06'34.78"W</t>
  </si>
  <si>
    <t>04°33'06.32"N</t>
  </si>
  <si>
    <t xml:space="preserve"> 74°06'39.99"W</t>
  </si>
  <si>
    <t>04°33'05.00"N</t>
  </si>
  <si>
    <t>74°06'40.94"W</t>
  </si>
  <si>
    <t>04°33'01.78"N</t>
  </si>
  <si>
    <t>74°06'45.62"W</t>
  </si>
  <si>
    <t>04°33'00.61"N</t>
  </si>
  <si>
    <t xml:space="preserve"> 74°06'47.91"W</t>
  </si>
  <si>
    <t>04°32'59.80"N</t>
  </si>
  <si>
    <t xml:space="preserve"> 74°06'47.34"W</t>
  </si>
  <si>
    <t>04°32'59.31"N</t>
  </si>
  <si>
    <t>74°06'48.51"W</t>
  </si>
  <si>
    <t>04°32'58.57"N</t>
  </si>
  <si>
    <t xml:space="preserve"> 74°06'48.62"W</t>
  </si>
  <si>
    <t>04°32'58.43"N</t>
  </si>
  <si>
    <t>74°06'49.76"W</t>
  </si>
  <si>
    <t>04°32'57.90"N</t>
  </si>
  <si>
    <t>74°06'50.90"W</t>
  </si>
  <si>
    <t>04°32'57.73"N</t>
  </si>
  <si>
    <t xml:space="preserve"> 74°06'51.44"W</t>
  </si>
  <si>
    <t>04°32'57.43"N</t>
  </si>
  <si>
    <t>74°06'53.35"W</t>
  </si>
  <si>
    <t>04°32'57.52"N</t>
  </si>
  <si>
    <t xml:space="preserve"> 74°06'53.64"W</t>
  </si>
  <si>
    <t>04°33'07.38"N</t>
  </si>
  <si>
    <t xml:space="preserve"> 74°07'06.59"W</t>
  </si>
  <si>
    <t>04°33'08.1"N</t>
  </si>
  <si>
    <t>04°33'10.59"N</t>
  </si>
  <si>
    <t xml:space="preserve"> 74°07'10.07"W</t>
  </si>
  <si>
    <t>04°33'11.93"N</t>
  </si>
  <si>
    <t>74°07'13.69"W</t>
  </si>
  <si>
    <t>04°33'11.95"N</t>
  </si>
  <si>
    <t xml:space="preserve"> 74°07'13.73"W</t>
  </si>
  <si>
    <t>04°33'16.83"N</t>
  </si>
  <si>
    <t>74°07'16.57"W</t>
  </si>
  <si>
    <t>04°33'17.25"N</t>
  </si>
  <si>
    <t>74°07'15.70"W</t>
  </si>
  <si>
    <t>04°33'17.34"N</t>
  </si>
  <si>
    <t>74°07'15.76"W</t>
  </si>
  <si>
    <t>04°33'23.37"N</t>
  </si>
  <si>
    <t xml:space="preserve"> 74°07'29.88"W</t>
  </si>
  <si>
    <t>04°33'26.70"N</t>
  </si>
  <si>
    <t xml:space="preserve"> 74°07'30.89"W</t>
  </si>
  <si>
    <t>04°33'36.49"N</t>
  </si>
  <si>
    <t xml:space="preserve"> 74°07'57.96"W</t>
  </si>
  <si>
    <t>04°31'37.80"N</t>
  </si>
  <si>
    <t>04°31'40.50"N</t>
  </si>
  <si>
    <t>04°32'24.70"N</t>
  </si>
  <si>
    <t>74°05'50.66"W</t>
  </si>
  <si>
    <t>04°32'28.55"N</t>
  </si>
  <si>
    <t>74°05'52.32"W</t>
  </si>
  <si>
    <t>04°32'29.40"N</t>
  </si>
  <si>
    <t>04°32'29.57"N</t>
  </si>
  <si>
    <t>74°05'52.33"W</t>
  </si>
  <si>
    <t>04°31'34.63"N</t>
  </si>
  <si>
    <t>04°31'34.60"N</t>
  </si>
  <si>
    <t>04°31'43.80"N</t>
  </si>
  <si>
    <t>04°31' 52.70"N</t>
  </si>
  <si>
    <t>04°31'52.70"N</t>
  </si>
  <si>
    <t>04°31'53.10"N</t>
  </si>
  <si>
    <t>04°31'28.11"N</t>
  </si>
  <si>
    <t>04°31'53.20"N</t>
  </si>
  <si>
    <t>04°31' 55.80"N</t>
  </si>
  <si>
    <t>04°31' 59.20"N</t>
  </si>
  <si>
    <t>04°32'01.00"N</t>
  </si>
  <si>
    <t>04°32'05.30"N</t>
  </si>
  <si>
    <t>04°32'04.70"N</t>
  </si>
  <si>
    <t>04°31'56.37"N</t>
  </si>
  <si>
    <t>04°31'56.79"N</t>
  </si>
  <si>
    <t>04°32'05.46"N</t>
  </si>
  <si>
    <t>04°32'06.24"N</t>
  </si>
  <si>
    <t>04°32'09.18"N</t>
  </si>
  <si>
    <t>04°32'10.68"N</t>
  </si>
  <si>
    <t>04°32'10.80"N</t>
  </si>
  <si>
    <t>04°32'12.75"N</t>
  </si>
  <si>
    <t>04°32'27.74900" N</t>
  </si>
  <si>
    <t>74°09'35.46598" W</t>
  </si>
  <si>
    <t>04°32'30.36226" N</t>
  </si>
  <si>
    <t>74°09'34.37819" W</t>
  </si>
  <si>
    <t>04°32'31.17057" N</t>
  </si>
  <si>
    <t>74°09'33.82858" W</t>
  </si>
  <si>
    <t>04°32'32.54880" N</t>
  </si>
  <si>
    <t>74°09'32.30605" W</t>
  </si>
  <si>
    <t>04°32'39.67"N</t>
  </si>
  <si>
    <t>74°09'29.69"W</t>
  </si>
  <si>
    <t>04°32'44.02"N</t>
  </si>
  <si>
    <t>74°09'30.34"W</t>
  </si>
  <si>
    <t>04°32'44.26"N</t>
  </si>
  <si>
    <t>74°09'30.23"W</t>
  </si>
  <si>
    <t>04°32'46.37"N</t>
  </si>
  <si>
    <t>74°09'30.60"W</t>
  </si>
  <si>
    <t>04°32'47.04"N</t>
  </si>
  <si>
    <t>74°09'30.25"W</t>
  </si>
  <si>
    <t>04°32'49.40"N</t>
  </si>
  <si>
    <t>74°09'29.66"W</t>
  </si>
  <si>
    <t>04°33'12.15"N</t>
  </si>
  <si>
    <t>74°09'13.47"W</t>
  </si>
  <si>
    <t>04°33'16.13"N</t>
  </si>
  <si>
    <t>74°09'08.39"W</t>
  </si>
  <si>
    <t>04°33'16.79"N</t>
  </si>
  <si>
    <t>74°09'07.47"W</t>
  </si>
  <si>
    <t>04°33'18.63"N</t>
  </si>
  <si>
    <t>74°09'04.45"W</t>
  </si>
  <si>
    <t>04°32'46.77977" N</t>
  </si>
  <si>
    <t>74°09'10.80051" W</t>
  </si>
  <si>
    <t>04°32'48.09"N</t>
  </si>
  <si>
    <t>04°32'49.13"N</t>
  </si>
  <si>
    <t>04°32'48.38"N</t>
  </si>
  <si>
    <t>04°32'48.54692"N</t>
  </si>
  <si>
    <t>74°09'04.63502"W</t>
  </si>
  <si>
    <t>04°32'48.58"N</t>
  </si>
  <si>
    <t>04°32'53.56923" N</t>
  </si>
  <si>
    <t>74°08'59.54077" W</t>
  </si>
  <si>
    <t>04°32'55.02588" N</t>
  </si>
  <si>
    <t>04°33'00.72"N</t>
  </si>
  <si>
    <t>74°08'58.16"W</t>
  </si>
  <si>
    <t>04°33'02.28776" N</t>
  </si>
  <si>
    <t>74°08'57.86222" W</t>
  </si>
  <si>
    <t>04°33'05.03128" N</t>
  </si>
  <si>
    <t>74°08'59.32205" W</t>
  </si>
  <si>
    <t>04°33'07.24557" N</t>
  </si>
  <si>
    <t>74°09'00.91558" W</t>
  </si>
  <si>
    <t>04°33'11.26282" N</t>
  </si>
  <si>
    <t>74°09'02.87561" W</t>
  </si>
  <si>
    <t>04°33'12.01"N</t>
  </si>
  <si>
    <t>74°09'02.80"W</t>
  </si>
  <si>
    <t>04°33'19.53"N</t>
  </si>
  <si>
    <t>74°09'04.52"W</t>
  </si>
  <si>
    <t>04°33'19.43"N</t>
  </si>
  <si>
    <t>74°09'04.30"W</t>
  </si>
  <si>
    <t>04°33'36.73"N</t>
  </si>
  <si>
    <t>74°09'00.37"W</t>
  </si>
  <si>
    <t>04°33'40.69"N</t>
  </si>
  <si>
    <t>74°09'01.35"W</t>
  </si>
  <si>
    <t>04°33'43.18"N</t>
  </si>
  <si>
    <t>74°08'58.85"W</t>
  </si>
  <si>
    <t>04°33'45.36"N</t>
  </si>
  <si>
    <t>74°08'55.68"W</t>
  </si>
  <si>
    <t>04°33'45.38"N</t>
  </si>
  <si>
    <t>74°08'55.54"W</t>
  </si>
  <si>
    <t>04°33'47.81"N</t>
  </si>
  <si>
    <t>74°08'52.10"W</t>
  </si>
  <si>
    <t>04°33'54.81"N</t>
  </si>
  <si>
    <t>74°08'51.92"W</t>
  </si>
  <si>
    <t>74°08'51.60"W</t>
  </si>
  <si>
    <t>04°33'53.27"N</t>
  </si>
  <si>
    <t>74°08'51.20"W</t>
  </si>
  <si>
    <t>04°34'00.65"N</t>
  </si>
  <si>
    <t>74°08'54.08"W</t>
  </si>
  <si>
    <t>04°34'02.59"N</t>
  </si>
  <si>
    <t>74°08'54.48"W</t>
  </si>
  <si>
    <t>04°34'04.64"N</t>
  </si>
  <si>
    <t>74°08'54.66"W</t>
  </si>
  <si>
    <t>04°34'08.70"N</t>
  </si>
  <si>
    <t>74°08'53.30"W</t>
  </si>
  <si>
    <t>04°34'10.09"N</t>
  </si>
  <si>
    <t>74°08'52.42"W</t>
  </si>
  <si>
    <t>04°32'43.00"N</t>
  </si>
  <si>
    <t>04°32'47.10"N</t>
  </si>
  <si>
    <t>04°32'47.69"N</t>
  </si>
  <si>
    <t>04°32'49.50"N</t>
  </si>
  <si>
    <t>SDA-06-2017-1587</t>
  </si>
  <si>
    <t>9:30 - 11:30</t>
  </si>
  <si>
    <t>10:30-12:30</t>
  </si>
  <si>
    <t>11:15-13:15</t>
  </si>
  <si>
    <t>13:00-15:00</t>
  </si>
  <si>
    <t>QZA-RTU-0420</t>
  </si>
  <si>
    <t>No autodeclarado por la EAAB-ESP.</t>
  </si>
  <si>
    <t>15:30 - 17:30</t>
  </si>
  <si>
    <t>16:00 - 18:00</t>
  </si>
  <si>
    <t>Autodeclaración de Vertimientos EAAB-ESP 2019. Radicado SDA No. 2020ER09076 del 16/01/2020.</t>
  </si>
  <si>
    <t>Autodeclaración de Vertimientos EAAB-ESP 2019. Radicado SDA No. 2020ER09076 del 16/01/2020. La EAAB informa que en el momento de la visita no presenta vertimiento.</t>
  </si>
  <si>
    <t>Autodeclaración de Vertimientos EAAB-ESP 2019. Radicado SDA No. 2020ER09076 del 16/01/2020. La EAAB informa que en el momento de la visita no presenta vertimiento. Soporte de visita de 2016.  Valor proyectado en el Anexo 3 de la Resolución 3428 de 2017 es igual a cero.</t>
  </si>
  <si>
    <t>11:05 - 12:05</t>
  </si>
  <si>
    <t>Autodeclaración de Vertimientos EAAB-ESP 2019. Radicado SDA No. 2020ER09076 del 16/01/2020. La EAAB informa que en el momento de la visita no presenta vertimiento. Valor proyectado en el Anexo 3 de la Resolución 3428 de 2017 es igual a cero.</t>
  </si>
  <si>
    <t xml:space="preserve"> 07:00 - 09:00</t>
  </si>
  <si>
    <t>Autodeclaración de Vertimientos EAAB-ESP 2019. Radicado SDA No. 2020ER09076 del 16/01/2020. La EAAB informa que en el momento de la visita no presenta vertimiento. Carga proyectada en el Anexo 3 de la Resolución 3428 de 2017 es igual a cero</t>
  </si>
  <si>
    <t>9:45 - 11:45</t>
  </si>
  <si>
    <t>Autodeclaración de Vertimientos EAAB-ESP 2019. Radicado SDA No. 2020ER09076 del 16/01/2020. La EAAB-ESP informa que no presenta vertimiento al momento de la visita. En el marco de la Fase XV del PMAE se verificó que el punto no presenta vertimiento.</t>
  </si>
  <si>
    <t xml:space="preserve">Autodeclaración de Vertimientos EAAB-ESP 2019. Radicado SDA No. 2020ER09076 del 16/01/2020. </t>
  </si>
  <si>
    <t>09:10 - 11:10</t>
  </si>
  <si>
    <t>11:50 - 13:50</t>
  </si>
  <si>
    <t>9:40 - 11:40</t>
  </si>
  <si>
    <t>14:00 - 16:00</t>
  </si>
  <si>
    <t>Autodeclaración de Vertimientos EAAB-ESP 2019. Radicado SDA No. 2020ER09076 del 16/01/2020. La EAAB informa que no presenta vertimiento al momento de la visita. Carga proyectada en el Anexo 3 de la Resolución 3428 de 2017 es igual a cero.</t>
  </si>
  <si>
    <t>9:20 - 11:20</t>
  </si>
  <si>
    <t xml:space="preserve">12:25 - 14:25 </t>
  </si>
  <si>
    <t>Autodeclaración de Vertimientos EAAB-ESP 2019. Radicado SDA No. 2020ER09076 del 16/01/2020. La EAAB informa que no presenta vertimiento, al momento de la visita el punto se encuentra inundado. Carga proyectada en el Anexo 3 de la Resolución 3428 de 2017 es igual a cero.</t>
  </si>
  <si>
    <t>Autodeclaración de Vertimientos EAAB-ESP 2019. Radicado SDA No. 2020ER09076 del 16/01/2020. La EAAB-ESP informa que no se presentó vertimiento al momento de la visita.</t>
  </si>
  <si>
    <t xml:space="preserve">Resultados PMAE Fase XV. Radicado 2019ER295160 del 18/12/2019. Muestra: 0409WI01. Fecha: 04/09/2019. Hora: 08:00 - 10:00 </t>
  </si>
  <si>
    <t>08:30 - 10:30</t>
  </si>
  <si>
    <t>Autodeclaración de Vertimientos EAAB-ESP 2019. Radicado SDA No. 2020ER09076 del 16/01/2020</t>
  </si>
  <si>
    <t>13:25 - 15:25</t>
  </si>
  <si>
    <t>Autodeclaración de Vertimientos EAAB-ESP 2019. Radicado SDA No. 2020ER09076 del 16/01/2020. La EAAB informa que no presenta vertimiento, al momento de la visita</t>
  </si>
  <si>
    <t>9:00 - 11:00</t>
  </si>
  <si>
    <t>Autodeclaración de Vertimientos EAAB-ESP 2019. Radicado SDA No. 2020ER09076 del 16/01/2020. La EAAB informa que no presenta vertimiento, al momento de la visita.</t>
  </si>
  <si>
    <t>9:10 - 11:10</t>
  </si>
  <si>
    <t>10:20 - 12:20</t>
  </si>
  <si>
    <t>Resultados PMAE Fase XV.Radicado 2019ER290949 del 13/12/2019. Muestra 2308HA01. Fecha de muestreo: 23/08/2019. Hora: 06:20 - 08:20.</t>
  </si>
  <si>
    <t>06:20 - 08:20</t>
  </si>
  <si>
    <t>08:50 - 10:00</t>
  </si>
  <si>
    <t>06:30 - 08:30</t>
  </si>
  <si>
    <t>Autodeclaración de Vertimientos EAAB-ESP 2019. Radicado SDA No. 2020ER09076 del 16/01/2020. Se presenta el dato de proyección de carga contaminante contemplado en el Anexo 3 de la Resolución 3428 de 2017.</t>
  </si>
  <si>
    <t>08:40 - 10:40</t>
  </si>
  <si>
    <t>Autodeclaración de Vertimientos EAAB-ESP 2019. Radicado SDA No. 2020ER09076 del 16/01/2020. La EAAB informa que no presenta vertimiento, soporte no es legible. Carga Proyectada en el Anexo 3, es igual a cero</t>
  </si>
  <si>
    <t>Resultados PMAE Fase XV.Radicado 2019ER290949 del 13/12/2019. Muestra 2308HA02. Fecha de muestreo: 23/08/2019. Hora: 09:30 - 11:30.</t>
  </si>
  <si>
    <t>COR-HCO-0002</t>
  </si>
  <si>
    <t>04°45'08.807"N</t>
  </si>
  <si>
    <t>74°03'10.731"W</t>
  </si>
  <si>
    <t>Autodeclaración de Vertimientos EAAB-ESP 2019. Radicado SDA No. 2020ER09076 del 16/01/2020. La EAAB informa que no presenta vertimiento en el momento de la visita.</t>
  </si>
  <si>
    <t>7:15-9:15</t>
  </si>
  <si>
    <t>8:00-10:00</t>
  </si>
  <si>
    <t>11:20 - 13:20</t>
  </si>
  <si>
    <t>11:55 - 13:55</t>
  </si>
  <si>
    <t>14:15 - 16:15</t>
  </si>
  <si>
    <t>08:15 - 10:15</t>
  </si>
  <si>
    <t>Autodeclaración de Vertimientos EAAB-ESP 2019. Radicado SDA No. 2020ER09076 del 16/01/2020. La EAAB informa que en el momento de la visita nohay movimiento del agua en el punto, que se encuentra inundado.</t>
  </si>
  <si>
    <t>07:00 - 09:00</t>
  </si>
  <si>
    <t>4°42'6.65"N</t>
  </si>
  <si>
    <t>74° 4'14.77"W</t>
  </si>
  <si>
    <t>HCO-RSA-0390</t>
  </si>
  <si>
    <t>HCO-RSA-0180</t>
  </si>
  <si>
    <t>HJA-RSA-0200</t>
  </si>
  <si>
    <t>14:30 - 16:30</t>
  </si>
  <si>
    <t>04°44’0.000"N</t>
  </si>
  <si>
    <t>74°06’40.64"W</t>
  </si>
  <si>
    <t>13:50 - 15:50</t>
  </si>
  <si>
    <t xml:space="preserve">Autodeclaración de Vertimientos EAAB-ESP 2019. Radicado SDA No. 2020ER09076 del 16/01/2020. La EAAB informa que no presentó vertimiento al momento de la visita, soporte de 2018. (carga proyectada en Anexo 3 es igual a cero) </t>
  </si>
  <si>
    <t>No autodeclarado por la EAAB-ESP. (Este punto no debería aportar carga contaminante en el año 2019 de acuerdo con el PSMV)</t>
  </si>
  <si>
    <t xml:space="preserve"> 09:50 - 11:50</t>
  </si>
  <si>
    <t>Autodeclaración de Vertimientos EAAB-ESP 2019. Radicado SDA No. 2020ER09076 del 16/01/2020. La EAAB informa que al momento de la visita la estructura no presenta vertimiento.</t>
  </si>
  <si>
    <t>11:00-12:00</t>
  </si>
  <si>
    <t>13:10 - 15:10</t>
  </si>
  <si>
    <t>Autodeclaración de Vertimientos EAAB-ESP 2019. Radicado SDA No. 2020ER09076 del 16/01/2020. La EAAB informa que no presenta vertimiento al momento de la visita. Soporte de 2018</t>
  </si>
  <si>
    <t>13:15 - 15:15</t>
  </si>
  <si>
    <t>Autodeclaración de Vertimientos EAAB-ESP 2019. Radicado SDA No. 2020ER09076 del 16/01/2020. La EAAB informa que no se presentó vertimiento al momento de la visita. Soporte de 2018</t>
  </si>
  <si>
    <t>Autodeclaración de Vertimientos EAAB-ESP 2019. Radicado SDA No. 2020ER09076 del 16/01/2020. La EAAB informa que en el momento de la visita no se presentó vertimiento, soporte del 2018</t>
  </si>
  <si>
    <t>Autodeclaración de Vertimientos EAAB-ESP 2019. Radicado SDA No. 2020ER09076 del 16/01/2020. La EAAB informa que en el momento de la visita no se presentó vertimiento.</t>
  </si>
  <si>
    <t xml:space="preserve"> 04/07/2019</t>
  </si>
  <si>
    <t>Autodeclaración de Vertimientos EAAB-ESP 2019. Radicado SDA No. 2020ER09076 del 16/01/2020. La EAAB informa que al momento de la visita no presentó vertimiento.</t>
  </si>
  <si>
    <t>Autodeclaración de Vertimientos EAAB-ESP 2019. Radicado SDA No. 2020ER09076 del 16/01/2020. La EAAB informa que al momento de la visita no presentó vertimiento. Soporte del año 2018</t>
  </si>
  <si>
    <t xml:space="preserve"> 07:20 - 09:20</t>
  </si>
  <si>
    <t>QIN-QTR-045</t>
  </si>
  <si>
    <t>QTR-RTU-0065</t>
  </si>
  <si>
    <t>QTR-RTU-0070</t>
  </si>
  <si>
    <t>CL 80 BIS A SUR KR 16 T</t>
  </si>
  <si>
    <t>04°32'12.03346"N</t>
  </si>
  <si>
    <t>74°08'21.47167"W</t>
  </si>
  <si>
    <t>04°32'11.7404"N</t>
  </si>
  <si>
    <t>74°08'22.25022"W</t>
  </si>
  <si>
    <t>Autodeclaración de Vertimientos EAAB-ESP 2019. Radicado SDA No. 2020ER09076 del 16/01/2020. La EAAB informa que en el momento de la visita no se presentó vertimiento, soporte de 2018.</t>
  </si>
  <si>
    <t>Autodeclaración de Vertimientos EAAB-ESP 2019. Radicado SDA No. 2020ER09076 del 16/01/2020. El soporte esta incompleto.</t>
  </si>
  <si>
    <t xml:space="preserve">Autodeclaración de Vertimientos EAAB-ESP 2019. Radicado SDA No. 2020ER09076 del 16/01/2020. La EAAB informa que en el momento de la visita no se presentó vertimiento. </t>
  </si>
  <si>
    <t>Quebrada Aguamonte o Zuque - 
Quebrada Chigüaza</t>
  </si>
  <si>
    <t>Quebrada Chigüaza</t>
  </si>
  <si>
    <t>CL 46 H Sur KR 14 Este (Antigua Vía al llano) - Inicio de la Quebrada Chigüaza jurisdicción SDA</t>
  </si>
  <si>
    <t>DG 47 Sur 12 21 Este - Confluencia Quebrada Aguamonte o Zuque a la Quebrada Chigüaza</t>
  </si>
  <si>
    <t>Quebrada Seca - 
Quebrada Chigüaza</t>
  </si>
  <si>
    <t>KR 11 Este CL 47 Sur (Barrio Nueva Gloria) - Confluencia Quebrada Seca a la Quebrada Chigüaza</t>
  </si>
  <si>
    <t>Quebrada Los Toches- 
Quebrada Chigüaza</t>
  </si>
  <si>
    <t>KR 1 A TV 1 BIS -  Confluencia Quebrada Los Toches a la Quebrada Chigüaza</t>
  </si>
  <si>
    <t>Quebrada La Nutria - 
Quebrada Chigüaza</t>
  </si>
  <si>
    <t>TV 1 BIS CL 48 C Sur - Confluencia Quebrada La Nutria a la Quebrada Chigüaza</t>
  </si>
  <si>
    <t>Quebrada Guira - 
Quebrada Chigüaza</t>
  </si>
  <si>
    <t>TV 1 BIS CL 48 16 - Confluencia Quebrada Guira a la Quebrada Chigüaza</t>
  </si>
  <si>
    <t>10:17 - 12:17</t>
  </si>
  <si>
    <t xml:space="preserve">Autodeclaración de Vertimientos EAAB-ESP 2019. Radicado SDA No. 2020ER09076 del 16/01/2020. La EAAB informa que no se presentó vertimiento al momento de la visita. </t>
  </si>
  <si>
    <t>12:38 - 14:38</t>
  </si>
  <si>
    <t>Autodeclaración de Vertimientos EAAB-ESP 2019. Radicado SDA No. 2020ER09076 del 16/01/2020. La EAAB informa que al momento de la visita el caudal del vertimiento es menor 0,1 l/s</t>
  </si>
  <si>
    <t>QZA-RTU-0241</t>
  </si>
  <si>
    <t>04°32'47.16513"N</t>
  </si>
  <si>
    <t xml:space="preserve"> 74°05'44.69536"W</t>
  </si>
  <si>
    <t>12:35 - 14:35</t>
  </si>
  <si>
    <t>No autodeclarado por la EAAB-ESP</t>
  </si>
  <si>
    <t>Autodeclaración de Vertimientos EAAB-ESP 2019. Radicado SDA No. 2020ER09076 del 16/01/2020. La EAAB informa que no presentó vertimiento al momento de la visita.</t>
  </si>
  <si>
    <t>Autodeclaración de Vertimientos EAAB-ESP 2019. Radicado SDA No. 2020ER09076 del 16/01/2020. La EAAB informa que no presentó vertimiento al momento de la visita. Sin embargo se toma el dato proyectado en el Anexo 3 de la Resolución 3428 de 2017</t>
  </si>
  <si>
    <t>10:40-12:40</t>
  </si>
  <si>
    <t>09:45-11:45</t>
  </si>
  <si>
    <t xml:space="preserve">Autodeclaración de Vertimientos EAAB-ESP 2019. Radicado SDA No. 2020ER09076 del 16/01/2020. La EAAB informa que no presenta vertimiento al momento de la visita. </t>
  </si>
  <si>
    <t>10:20-12:20</t>
  </si>
  <si>
    <t>Autodeclaración de Vertimientos EAAB-ESP 2019. Radicado SDA No. 2020ER09076 del 16/01/2020. La EAAB informa que al momento de la visita no se presenta vertimiento, soporte de 2018. No obstante se toma el dato proyectado en el Anexo 3 de laResolución 3428 de 2017</t>
  </si>
  <si>
    <t>Autodeclaración de Vertimientos EAAB-ESP 2019. Radicado SDA No. 2020ER09076 del 16/01/2020. La EAAB informa que el punto no se verifica porque está dentro de la cárcel La Picota</t>
  </si>
  <si>
    <t>8:45-10:45</t>
  </si>
  <si>
    <t>06:10 - 08:10</t>
  </si>
  <si>
    <t>QNU-RTU-0010</t>
  </si>
  <si>
    <t>QNU-RTU-0020</t>
  </si>
  <si>
    <t>QNU-RTU-0070</t>
  </si>
  <si>
    <t xml:space="preserve">Autodeclaración de Vertimientos EAAB-ESP 2019. Radicado SDA No. 2020ER09076 del 16/01/2020. Se autodeclara el dato proyectado del Anexo 3 de la Resolución 3428 de 2017. </t>
  </si>
  <si>
    <t>QNU-RTU-0050</t>
  </si>
  <si>
    <t>QNU-RTU-0060</t>
  </si>
  <si>
    <t>QNU-RTU-0080</t>
  </si>
  <si>
    <t>Autodeclaración de Vertimientos EAAB-ESP 2019. Radicado SDA No. 2020ER09076 del 16/01/2020. La EAAB informa que al momento de la visita no presenta vertimiento.</t>
  </si>
  <si>
    <t>Autodeclaración de Vertimientos EAAB-ESP 2019. Radicado SDA No. 2020ER09076 del 16/01/2020. La EAAB informa que al momento de la visita no presenta vertimiento. Soporte del año 2018</t>
  </si>
  <si>
    <t>Autodeclaración de Vertimientos EAAB-ESP 2019. Radicado SDA No. 2020ER09076 del 16/01/2020. La EAAB informa que al momento de la visita no se presentó vertimiento. Soporte de 2018</t>
  </si>
  <si>
    <t xml:space="preserve">Autodeclaración de Vertimientos EAAB-ESP 2019. Radicado SDA No. 2020ER09076 del 16/01/2020. La EAAB informa que al momento de la visita no se presentó vertimiento. </t>
  </si>
  <si>
    <t>06:40 - 08:40</t>
  </si>
  <si>
    <t>06:50 - 08:50</t>
  </si>
  <si>
    <t xml:space="preserve">Autodeclaración de Vertimientos EAAB-ESP 2019. Radicado SDA No. 2020ER09076 del 16/01/2020. La EAAB informa que en las coordenadas del punto no se encontró estructura. Considera la EAAB que el punto se refiere al QLI-RTU-0090, revisando en campo y en la cartografía. </t>
  </si>
  <si>
    <t>04°32'44.8749"N</t>
  </si>
  <si>
    <t>74°09'29.8270"W</t>
  </si>
  <si>
    <t>QLI-RTU-0085</t>
  </si>
  <si>
    <t>ABAJO PUENTE VÍA QUIBA</t>
  </si>
  <si>
    <t>08:05 - 10:05</t>
  </si>
  <si>
    <t>6:00-8:00</t>
  </si>
  <si>
    <t>ZDE-QLI-0135</t>
  </si>
  <si>
    <t>CL 69 T Sur KR 18 J BIS</t>
  </si>
  <si>
    <t>04°33'06.20" N</t>
  </si>
  <si>
    <t>74°09'00.92" W</t>
  </si>
  <si>
    <t>Autodeclaración de Vertimientos EAAB-ESP 2019. Radicado SDA No. 2020ER09076 del 16/01/2020. La EAAB informa que al momento de la visita no se presentó vertimiento. Soporte del año 2018</t>
  </si>
  <si>
    <t>Autodeclaración de Vertimientos EAAB-ESP 2019. Radicado SDA No. 2020ER09076 del 16/01/2020. La EAAB informa que al momento de la visita no se presentó vertimiento. No se presenta soporte</t>
  </si>
  <si>
    <t>Autodeclaración de Vertimientos EAAB-ESP 2019. Radicado SDA No. 2020ER09076 del 16/01/2020. La EAAB informa que al momento de la visita no se presentó vertimiento.</t>
  </si>
  <si>
    <t>Autodeclaración de Vertimientos EAAB-ESP 2019. Radicado SDA No. 2020ER09076 del 16/01/2020. La EAAB informa que no se presenta vertimiento al momento de la visita.</t>
  </si>
  <si>
    <t>Autodeclaración de Vertimientos EAAB-ESP 2019. Radicado SDA No. 2020ER09076 del 16/01/2020. La EAAB informa que no se presentó vertimiento al momento de la visita, soporte 2018. No obstante, se toma el dato de proyección de carga contaminante contemplado en el Anexo 3 de la Resolución 3428 de 2017.</t>
  </si>
  <si>
    <t>Autodeclaración de Vertimientos EAAB-ESP 2019. Radicado SDA No. 2020ER09076 del 16/01/2020. Monitoreo de 2018. No obstante, se toma el dato de proyección de carga contaminante contemplado en el Anexo 3 de la Resolución 3428 de 2017.</t>
  </si>
  <si>
    <t>Autodeclaración de Vertimientos EAAB-ESP 2019. Radicado SDA No. 2020ER09076 del 16/01/2020. La EAAB informa que no se presentó vertimiento al momento de la visita.</t>
  </si>
  <si>
    <t>Carga Contaminante 2019</t>
  </si>
  <si>
    <t>Autodeclaración de Vertimientos EAAB-ESP 2019. Radicado SDA No. 2020ER09076 del 16/01/2020. 
La estructura presenta un flujo y se encontraba inundada.</t>
  </si>
  <si>
    <t>Autodeclaración de Vertimientos EAAB-ESP 2019. Radicado SDA No. 2020ER09076 del 16/01/2020. 
La estructura se encontraba inundada.</t>
  </si>
  <si>
    <t>9:45-11:45</t>
  </si>
  <si>
    <t xml:space="preserve">Autodeclaración de Vertimientos EAAB-ESP 2019. Radicado SDA No. 2020ER09076 del 16/01/2020. informa que no presenta vertimiento.
por lo tanto se toma el dato de proyección de carga contaminante contemplado en el Anexo 3 de la Resolución 3428 de 2017.
</t>
  </si>
  <si>
    <t>10/10/2019-11/10/2019</t>
  </si>
  <si>
    <t>10:00-10:00</t>
  </si>
  <si>
    <t>--</t>
  </si>
  <si>
    <t>10:10-12:10</t>
  </si>
  <si>
    <t>10:15-12:15</t>
  </si>
  <si>
    <t>10:21-12:21</t>
  </si>
  <si>
    <t>9:00-11:00</t>
  </si>
  <si>
    <t>9:40-11:40</t>
  </si>
  <si>
    <t>9:50-11:50</t>
  </si>
  <si>
    <t>10:05-12:05</t>
  </si>
  <si>
    <t>6:30-8:30</t>
  </si>
  <si>
    <t>11:30- 13:30</t>
  </si>
  <si>
    <t>07:40- 09:40</t>
  </si>
  <si>
    <t>10:50-12:50</t>
  </si>
  <si>
    <t>10:55-12:55</t>
  </si>
  <si>
    <t xml:space="preserve">No presenta 
vertimiento </t>
  </si>
  <si>
    <t>No autodeclarado por la EAAB-ESP.
 no presenta soportes</t>
  </si>
  <si>
    <t>Autodeclaración de Vertimientos EAAB-ESP 2019. Radicado SDA No. 2020ER09076 del 16/01/2020. 
caracterización del año 2018. 
Carga proyectada en el Anexo 3 de la Resolución 3428 de 2017 es igual a cero.</t>
  </si>
  <si>
    <t xml:space="preserve"> 07:30-09:30 </t>
  </si>
  <si>
    <t>7:10-9:10</t>
  </si>
  <si>
    <t>10:25-12:25</t>
  </si>
  <si>
    <t>07:20 - 09:20</t>
  </si>
  <si>
    <t>10:20-12.20</t>
  </si>
  <si>
    <t>09:15-11:15</t>
  </si>
  <si>
    <t xml:space="preserve">Autodeclaración de Vertimientos EAAB-ESP 2019. Radicado SDA No. 2020ER09076 del 16/01/2020.
informan que el punto se encuentra inundado  </t>
  </si>
  <si>
    <t xml:space="preserve">13:20-15:20 </t>
  </si>
  <si>
    <t>07/11/2019 - 08/11/2019</t>
  </si>
  <si>
    <t>14/11/2019 - 15/11/2019</t>
  </si>
  <si>
    <t>10:30 -12:30</t>
  </si>
  <si>
    <t>8:00 -10:00</t>
  </si>
  <si>
    <t>Autodeclaración de Vertimientos EAAB-ESP 2019. Radicado SDA No. 2020ER09076 del 16/01/2020. La EAAB-ESP informa que no presenta vertimiento al momento de la visita, soporte del año 2018</t>
  </si>
  <si>
    <t>Autodeclaración de Vertimientos EAAB-ESP 2019. Radicado SDA No. 2020ER09076 del 16/01/2020. La EAAB-ESP ; soporte del año 2018,  Se toma el valor de carga del Anexo 3 de la Resolución 3428 de 2017,</t>
  </si>
  <si>
    <t>9:30-11:30</t>
  </si>
  <si>
    <t>170/2019</t>
  </si>
  <si>
    <t>Autodeclaración de Vertimientos EAAB-ESP 2019. Radicado SDA No. 2020ER09076 del 16/01/2020. No reporta vertimiento</t>
  </si>
  <si>
    <t xml:space="preserve">Autodeclaración de Vertimientos EAAB-ESP 2019. Radicado SDA No. 2020ER09076 del 16/01/2020. No reporta vertimiento, </t>
  </si>
  <si>
    <t>11:10-13:10</t>
  </si>
  <si>
    <t>07:45-09:45</t>
  </si>
  <si>
    <t xml:space="preserve">11:00 -13:00 </t>
  </si>
  <si>
    <t>Autodeclaración de Vertimientos EAAB-ESP 2019. Radicado SDA No. 2020ER09076 del 16/01/2020. No reporta vertimiento, sin embargo, por lo tanto se toma el dato de proyección de carga contaminante contemplado en el Anexo 3 de la Resolución 3428 de 2017</t>
  </si>
  <si>
    <t>7:00-9:00</t>
  </si>
  <si>
    <t>6:50-8:50</t>
  </si>
  <si>
    <t>9:15-11:15</t>
  </si>
  <si>
    <t>9:25-11.25</t>
  </si>
  <si>
    <t xml:space="preserve">No autodeclarado por la EAAB-ESP. </t>
  </si>
  <si>
    <t>12:30 -14:30</t>
  </si>
  <si>
    <t>12:20-14:20</t>
  </si>
  <si>
    <t>7:45-9:45</t>
  </si>
  <si>
    <t>Autodeclaración de Vertimientos EAAB-ESP 2019. Radicado SDA No. 2020ER09076 del 16/01/2020. No presenta anexo, por lo tanto se toma el dato de proyección de carga contaminante contemplado en el Anexo 3 de la Resolución 3428 de 2017</t>
  </si>
  <si>
    <t xml:space="preserve"> 14:30 - 16:30</t>
  </si>
  <si>
    <t xml:space="preserve">10:00-12:00 </t>
  </si>
  <si>
    <t>07:30-9:30</t>
  </si>
  <si>
    <t xml:space="preserve">Autodeclaración de Vertimientos EAAB-ESP 2019. Radicado SDA No. 2020ER09076 del 16/01/2020. 
la EAAB -ESP  informa que el punto de vertimiento puede estar asociado con la fracura del Canal San Francisco o por el paso del interceptor Boyacá, el cual presenta un nivel de agua que impide tomar muestra y visualizar la corriente de agua. </t>
  </si>
  <si>
    <t xml:space="preserve">Resultados PMAE Fase XV. Muestra: 1012AN05. Fecha: 10/12/2019. Hora: 9:05 </t>
  </si>
  <si>
    <t xml:space="preserve">Autodeclaración de Vertimientos EAAB-ESP 2019. Radicado SDA No. 2020ER09076 del 16/01/2020. La EAAB informa que en el momento de la visita no presenta vertimiento.  </t>
  </si>
  <si>
    <t>HJA-RSA-0050</t>
  </si>
  <si>
    <t>Autodeclaración de Vertimientos EAAB-ESP 2019. Radicado SDA No. 2020ER09076 del 16/01/2020. La EAAB informa que no presenta vertimiento al momento de la visita.</t>
  </si>
  <si>
    <t>1010SE01</t>
  </si>
  <si>
    <t>1010SE02</t>
  </si>
  <si>
    <t>1010SE03</t>
  </si>
  <si>
    <t>1010SE04</t>
  </si>
  <si>
    <t>1010SE05</t>
  </si>
  <si>
    <t>1010SE06</t>
  </si>
  <si>
    <t>1010FE07</t>
  </si>
  <si>
    <t>1110FE08</t>
  </si>
  <si>
    <t>1110WI09</t>
  </si>
  <si>
    <t>1110WI10</t>
  </si>
  <si>
    <t>1110WI11</t>
  </si>
  <si>
    <t>1110WI12</t>
  </si>
  <si>
    <t>CBS-RSA-0170</t>
  </si>
  <si>
    <t>04°39’31.8"N</t>
  </si>
  <si>
    <t>74°04’41.05"W</t>
  </si>
  <si>
    <t>7:40-9:40</t>
  </si>
  <si>
    <t>08:00-10:00</t>
  </si>
  <si>
    <t>12:10-14:10</t>
  </si>
  <si>
    <t>Canal San Carlos</t>
  </si>
  <si>
    <t>CSR-RTU-0010</t>
  </si>
  <si>
    <t>KR 19 C con CL 51 SUR</t>
  </si>
  <si>
    <t xml:space="preserve"> 04°34'13.564"N</t>
  </si>
  <si>
    <t xml:space="preserve"> 74°07'48.4887"W </t>
  </si>
  <si>
    <t>CSR-RTU-0020</t>
  </si>
  <si>
    <t xml:space="preserve"> 04°34'13.3368"N</t>
  </si>
  <si>
    <t xml:space="preserve"> 74°07'48.7157"W </t>
  </si>
  <si>
    <t>HJA-RSA-0230</t>
  </si>
  <si>
    <t>DG 77</t>
  </si>
  <si>
    <t>04°43’19.72"N</t>
  </si>
  <si>
    <t>74°08’9.32"W</t>
  </si>
  <si>
    <t>Quebrada Caño Galindo</t>
  </si>
  <si>
    <t>QCG-QZE-0030</t>
  </si>
  <si>
    <t>KR 18 C 76 A 38 SUR</t>
  </si>
  <si>
    <t xml:space="preserve">04°32'28.8952"N </t>
  </si>
  <si>
    <t xml:space="preserve">74°8'41.813"W </t>
  </si>
  <si>
    <t>12:20 - 14:20</t>
  </si>
  <si>
    <t>QCG-QZE-0050</t>
  </si>
  <si>
    <t>KR 18 B BIS 76 A 01 SUR</t>
  </si>
  <si>
    <t xml:space="preserve">04°32'29.025"N </t>
  </si>
  <si>
    <t xml:space="preserve">74°8'40.483"O </t>
  </si>
  <si>
    <t xml:space="preserve"> 08/11/2019</t>
  </si>
  <si>
    <t>8:20-10:20</t>
  </si>
  <si>
    <t>10:15- 12:15</t>
  </si>
  <si>
    <t>10:30- 12:30</t>
  </si>
  <si>
    <t>Autodeclaración de Vertimientos EAAB-ESP 2019. Radicado SDA No. 2020ER09076 del 16/01/2020. La EAAB-ESP presenta el valor proyectado de carga del Anexo 3 de la Resolución 3428 de 2017, sin embargo se estimó la carga con la información del Radicado SDA No. 2019ER291028 del 13/12/2019 que corresponde al informe semestral del PSMV</t>
  </si>
  <si>
    <t>Resultados del PMAE Fae Xv, Muestra No. 1809AN01, Fecha de muestreo: 18/09/2019, Hora: 8:20-10:20</t>
  </si>
  <si>
    <t>No autodeclarado por la EAAB-ESP. Se estimó la carga contaminante con el resultado del PMAE Fase XV, muestra No. 2308AN01, Fecha de muestreo: 23/11/2019, Hora: 07:00 - 09:00. Radicado SDA No. 2019ER290949 del 13/12/2019.</t>
  </si>
  <si>
    <t>Resultado de monitoreo Fase XV PMAE. Radicado 2019ER267083 del 15/11/2019, muestra No. 1707AN03, Fecha de muestreo: 17/07/2019, Hora: 10:40 - 12:40</t>
  </si>
  <si>
    <t>Resultados PMAE Fase XV.Radicado 2019ER267083 del 15/11/2019. Muestra No. 1707AN02, Fecha de muestreo: 17/07/2019, Hora: 8:00-10:00.</t>
  </si>
  <si>
    <t>Resultado de monitoreo Fase XV PMAE. Radicado 2019ER296996 del 19/12/2019, muestra No. 1009AN03, Fecha de muestreo: 10/9/2019, Hora: 12:30 - 14:30</t>
  </si>
  <si>
    <t>Resultado de monitoreo Fase XV PMAE. Radicado 2019ER296996 del 19/12/2019, muestra No. 1009AN02, Fecha de muestreo: 10/9/2019, Hora: 10:10-12:10</t>
  </si>
  <si>
    <t>Resultado de monitoreo Fase XV PMAE. Radicado 2019ER296996 del 19/12/2019, muestra No. 1009AN01, Fecha de muestreo: 10/9/2019, Hora: 8:00-10:00</t>
  </si>
  <si>
    <t>Resultado de monitoreo Fase XV PMAE. Radicado 2019ER267896 del 18/11/2019, muestra No. 0807WI01, Fecha de muestreo: 08/7/2019, Hora: 8:00-10:00</t>
  </si>
  <si>
    <t>Resultado de monitoreo Fase XV PMAE. Radicado 2019ER267896 del 18/11/2019, muestra No. 0807WI02, Fecha de muestreo: 08/7/2019, Hora: 11:00 - 13:00</t>
  </si>
  <si>
    <t>Resultado de monitoreo Fase XV PMAE. Radicado 2019ER267896 del 18/11/2019, muestra No. 0807WI03, Fecha de muestreo: 08/7/2019, Hora: 14:30 - 16:30</t>
  </si>
  <si>
    <t>Resultado de monitoreo Fase XV PMAE, Muestra No. 0410SE01, Fecha de muestreo: 4/10/2019, Hora: 09:00 - 11:00</t>
  </si>
  <si>
    <t>Resultado de monitoreo Fase XV PMAE. Radicado 2019ER296983 del 19/12/2019, muestra No. 0909WI01, Fecha de muestreo: 09/9/2019, Hora: 10:30 - 12:30</t>
  </si>
  <si>
    <t>Resultado de monitoreo Fase XV PMAE. Muestra No. 1710FE02, Fecha de muestreo: 17/10/2019, Hora: 09:30 - 11:30</t>
  </si>
  <si>
    <t>Resultados del PMAE Fase XV, Muestra No. 2908AN01, Fecha de muestreo: 29/08/2019, Hora: 07:30 - 09:30</t>
  </si>
  <si>
    <t>Resultados del PMAE Fase XV, Muestra No. 2905JG03, Fecha de muestreo: 29/05/2019, Hora: 12:00 - 14:00</t>
  </si>
  <si>
    <t>Resultados del PMAE Fase XV, Muestra No. 0811AN01, Fecha de muestreo: 08/11/2019, Hora: 08:30 - 10:30</t>
  </si>
  <si>
    <t>Resultados PMAE Fase XV, Muestra No. 2606WI02, Fecha de muestreo 26/06/2019, Hora: 10:00-12:00</t>
  </si>
  <si>
    <t>Resultado del PMAE Fase XV, muestras No 1010SE01, 1010SE02, 1010SE03, 1010SE04, 1010FE05, 1010FE06, 1010FE07, 1110FE08, 1110WI09, 1110WI10, 1110WI11, 1110WI12, Fecha de muestreo:10/10/2019-11/10/2019, hora: 10:00-10:00</t>
  </si>
  <si>
    <t>Resultados PMAE Fase XV, Muestra No. 0409HA02, Fecha de muestreo 04/09/2019, Hora: 10:15- 12:15</t>
  </si>
  <si>
    <t>Resultados PMAE Fase XV, Muestra No. 0409HA03, Fecha de muestreo 04/09/2019, Hora: 10:30- 12:30</t>
  </si>
  <si>
    <t>Resultado del PMAE Fase XV, muestra No 0409HA01, Fecha de muestreo:04/09/2019, hora: 06:30- 08:30 Radicado SDA No2019ER295160 del 18/12/2019</t>
  </si>
  <si>
    <t>Resultado del PMAE Fase XV, muestra No 0808SE03, Fecha de muestreo:08/08/2019, hora: 07:30-09:30 Radicado SDA No 2019ER288471 del 11/12/2019</t>
  </si>
  <si>
    <t>Resultado del PMAE Fase XV, muestra No 0808SE01, Fecha de muestreo:08/08/2019, hora: 07:10-09:10 Radicado SDA No 2019ER288471 del 11/12/2019</t>
  </si>
  <si>
    <t>Resultado del PMAE Fase XV, muestra No 0808SE02, Fecha de muestreo:08/08/2019, hora: 07:10-09:10 Radicado SDA No 2019ER288471 del 11/12/2019</t>
  </si>
  <si>
    <t>Resultado del PMAE Fase XV, muestra No 1007SE03, Fecha de muestreo:10/07/2019, hora: 13:20 - 15:20 Radicado SDA No 2019ER267044 del 11/12/2019</t>
  </si>
  <si>
    <t>Resultados PMAE Fase XV, Muestra No. 3010AN04, Fecha de muestreo: 30/10/2019, Hora: 12:20 - 14:20</t>
  </si>
  <si>
    <t>Resultados PMAE Fase XV, Muestra No. 3010SA03, Fecha de muestreo: 30/10/2019, Hora: 13:15 - 15:15</t>
  </si>
  <si>
    <t>Resultados PMAE Fase XV, Muestra No. 0910WI01, Fecha de muestreo: 09/10/2019, Hora: 07:45-09:45</t>
  </si>
  <si>
    <t>Resultados PMAE Fase XV, Muestra No. 0910WI02, Fecha de muestreo: 09/10/2019, Hora: 08:00-10:00</t>
  </si>
  <si>
    <t xml:space="preserve">Resultados PMAE Fase XV, Muestra: 0304HA02, Fecha de muestreo: 03/04/2019, Hora: 9:00 - 11:00 </t>
  </si>
  <si>
    <t xml:space="preserve">Resultados PMAE Fase XV, Muestra: 0304HA03, Fecha de muestreo: 03/04/2019, Hora: 14:00 - 16:00 </t>
  </si>
  <si>
    <t xml:space="preserve">Resultados PMAE Fase XV, Muestra: 0207SE02. Fecha de muestreo: 02/07/2019. Hora: 12:25 - 14:25 </t>
  </si>
  <si>
    <t>Autodeclaración de Vertimientos EAAB-ESP 2019. Radicado SDA No. 2020ER09076 del 16/01/2020. La EAAB informa que no presenta vertimiento, al momento de la visita. No obstante se toma el valor del Anexo 3 de la Resolución 3428 de 2007.</t>
  </si>
  <si>
    <t xml:space="preserve">Autodeclaración de Vertimientos EAAB-ESP 2019. Radicado SDA No. 2020ER09076 del 16/01/2020. La EAAB informa que en el momento de la visita no presenta vertimiento. No obstante se toma el dato proyectado en el Anexo 3 de la Resolución 3428 de 2017, </t>
  </si>
  <si>
    <t xml:space="preserve">Autodeclaración de Vertimientos EAAB-ESP 2019. Radicado SDA No. 2020ER09076 del 16/01/2020. La EAAB informa que en el momento de la visita no presenta vertimiento. Soporte de visita de 2018.  No obstante se toma el dato proyectado en el Anexo 3 de la Resolución 3428 de 2017, </t>
  </si>
  <si>
    <t xml:space="preserve">Autodeclaración de Vertimientos EAAB-ESP 2019. Radicado SDA No. 2020ER09076 del 16/01/2020. La EAAB informa que en el momento de la visita no presenta vertimiento.  No obstante se toma el dato proyectado en el Anexo 3 de la Resolución 3428 de 2017, </t>
  </si>
  <si>
    <t>Autodeclaración de Vertimientos EAAB-ESP 2019. Radicado SDA No. 2020ER09076 del 16/01/2020. La EAAB-ESP informa que no presenta vertimiento al momento de la visita. Se toma el valor de carga del Anexo 3 de la Resolución 3428 de 2017, .</t>
  </si>
  <si>
    <t>Autodeclaración de Vertimientos EAAB-ESP 2019. Radicado SDA No. 2020ER09076 del 16/01/2020. La EAAB informa que no presenta vertimiento, al momento de la visita. No obstante se toma el valor del Anexo 3 de la Resolución 3428 de 2007, .</t>
  </si>
  <si>
    <t>Autodeclaración de Vertimientos EAAB-ESP 2019. Radicado SDA No. 2020ER09076 del 16/01/2020. La EAAB-ESP informa que no se presentó vertimiento al momento de la visita, soporte de 2018. Se toma el valor de la carga proyectada en el Anexo 3 de la Resolución 3428 de 2017, .</t>
  </si>
  <si>
    <t xml:space="preserve">Autodeclaración de Vertimientos EAAB-ESP 2019. Radicado SDA No. 2020ER09076 del 16/01/2020. La EAAB informa que no hay movimiento de agua en el punto y que se encuentra inundado, no obstante se toma el valor proyectado en el Anexo 3 de la Resolución 3428 de 2017, </t>
  </si>
  <si>
    <t xml:space="preserve">Autodeclaración de Vertimientos EAAB-ESP 2019. Radicado SDA No. 2020ER09076 del 16/01/2020. Se reporta que no hay vertimiento (16/11/2018). Sin embargo, se toma el dato de proyección de carga contaminante contemplado en el Anexo 3 de la Resolución 3428 de 2017, </t>
  </si>
  <si>
    <t>Autodeclaración de Vertimientos EAAB-ESP 2019. Radicado SDA No. 2020ER09076 del 16/01/2020. Se reporta que no hay vertimiento (17/11/2018). Sin embargo, se toma el dato de proyección de carga contaminante contemplado en el Anexo 3 de la Resolución 3428 de 2017, .</t>
  </si>
  <si>
    <t>Autodeclaración de Vertimientos EAAB-ESP 2019. Radicado SDA No. 2020ER09076 del 16/01/2020. Se reporta que el caudal es menor a 0,1 l/s, visita de 2018, sin embargo, se toma el dato de proyección de carga contaminante contemplado en el Anexo 3 de la Resolución 3428 de 2017, .</t>
  </si>
  <si>
    <t>Autodeclaración de Vertimientos EAAB-ESP 2019. Radicado SDA No. 2020ER09076 del 16/01/2020. La EAAB informa que la estructura no presenta vertimiento al momento de la visita. No obstante, se toma el dato de proyección de carga contaminante contemplado en el Anexo 3 de la Resolución 3428 de 2017, .</t>
  </si>
  <si>
    <t>Autodeclaración de Vertimientos EAAB-ESP 2019. Radicado SDA No. 2020ER09076 del 16/01/2020. La EAAB informa que no presenta vertimiento al momento de la visita, sin embargo se toma el dato proyectado del Anexo 3 de la Resolución 3428 de 2017, .</t>
  </si>
  <si>
    <t>Autodeclaración de Vertimientos EAAB-ESP 2019. Radicado SDA No. 2020ER09076 del 16/01/2020. La EAAB informa que en el momento de la visita no se presentó vertimiento. No obstante se toma el dato proyectado en el Anexo 3 de la Resolución 4328 de 2017, .</t>
  </si>
  <si>
    <t xml:space="preserve">Autodeclaración de Vertimientos EAAB-ESP 2019. Radicado SDA No. 2020ER09076 del 16/01/2020. Se toma el dato proyectado del Anexo 3 de la Resolución 3428 de 2017, soportes del año 2018, . </t>
  </si>
  <si>
    <t xml:space="preserve">No autodeclarado por la EAAB-ESP. Se toma el dato proyectado del Anexo 3 de la Resolución 3428 de 2017, soportes del año 2018, </t>
  </si>
  <si>
    <t>Autodeclaración de Vertimientos EAAB-ESP 2019. Radicado SDA No. 2020ER09076 del 16/01/2020. La EAAB no presenta soporte. Se estimó la carga con los resultados del PMAE Fase XV, Muestra No. 1309AN02, Fecha de muestreo: 13/09/2019, Hora: 10:00 - 12:00</t>
  </si>
  <si>
    <t xml:space="preserve">No autodeclarado por la EAAB-ESP. Se estimó la carga con los resultados del PMAE Fae XV, Muestra No. 1809AN02, Fecha de muestreo: 18/09/2019, Hora: 8:45-10:45 </t>
  </si>
  <si>
    <t>Se estimó la carga como el promedio entre la autodeclaración de vertimientos de la EAAB-ESP y los resultados del PMAE Fase XV</t>
  </si>
  <si>
    <t xml:space="preserve">Autodeclaración de Vertimientos EAAB-ESP 2019. Radicado SDA No. 2020ER09076 del 16/01/2020. La EAAB-ESP informa que no presenta vertimiento al momento de la visita, soporte del año 2018. Se estimó la carga con los resultados del PMAE Fase XV, Muestra No. 0207SE01, Fecha de muestreo: 02/07/2019, Hora: 9:40 - 11:40. </t>
  </si>
  <si>
    <t>Autodeclaración de Vertimientos EAAB-ESP 2019. Radicado SDA No. 2020ER09076 del 16/01/2020. Caracterización del año 2018, se estimó la carga con los resultados de PMAE Fase XV.Radicado 2019ER267083 del 15/11/2019. Muestra No. 1707AN01, Fecha de muestreo: 17/07/2019, Hora: 7:15-9:15.</t>
  </si>
  <si>
    <t>Autodeclaración de Vertimientos EAAB-ESP 2019. Radicado SDA No. 2020ER09076 del 16/01/2020. La EAAB informa que no se presenta vertimiento al momento de la visita. Se estimó la carga contaminante con el resultado de la Fase XV del PMAE. radicado 2019ER297002 del 19/12/2019, muestra No. 1909AN01, Fecha de muestreo: 19/09/2019, hora: 09:15 - 11:15</t>
  </si>
  <si>
    <t>Se estimó la carga contaminante con el resultado de la Fase XV del PMAE. radicado 2019ER297002 del 19/12/2019, muestra No. 1909AN02, Fecha de muestreo: 19/09/2019, hora: 11:20 - 13:20</t>
  </si>
  <si>
    <t>Se estimó la carga contaminante con el resultado de la Fase XV del PMAE. radicado 2019ER297002 del 19/12/2019, muestra No. 1909SE03, Fecha de muestreo: 19/09/2019, hora: 11:55 - 13:55</t>
  </si>
  <si>
    <t>Se estimó la carga contaminante con el resultado de la Fase XV del PMAE. radicado 2019ER297002 del 19/12/2019, muestra No. 1909AN03, Fecha de muestreo: 19/09/2019, hora: 11:55 - 13:55</t>
  </si>
  <si>
    <t>Se estimó la carga contaminante con el resultado de la Fase XV del PMAE. radicado 2019ER297002 del 19/12/2019, muestra No. 2009SE01, Fecha de muestreo: 20/09/2019, hora: 08:15 - 10:15</t>
  </si>
  <si>
    <t>Autodeclaración de Vertimientos EAAB-ESP 2019. Radicado SDA No. 2020ER09076 del 16/01/2020. La EAAB informa que la estructura no presenta vertimiento al momento de la visita. No obstante, se estimó la carga contaminante con los resultados del PMAE Fase XV. Radicado 2019ER297002 del 19/12/2019. Muestra No. 1909SE01, Fecha de muestreo: 19/09/2019. Hora: 10:30 - 12:30</t>
  </si>
  <si>
    <t>Se estimó la carga contaminante con los resultados del PMAE Fase XV. Radicado 2019ER297002 del 19/12/2019. Muestra No. 2009WI01, Fecha de muestreo: 20/09/2019. Hora: 07:00 - 09:00</t>
  </si>
  <si>
    <t>Se estimó la carga contaminante con los resultados del PMAE Fase XV. Radicado 2019ER297002 del 19/12/2019. Muestra No. 2009WI02, Fecha de muestreo: 20/09/2019. Hora: 08:30 - 10:30</t>
  </si>
  <si>
    <t>No autodeclarado por la EAAB-ESP. 
Se estimó carga con resultado del PMAE Fase XV, muestra No 1807SE01, Fecha de muestreo:18/07/2019, hora: 07:30-9:30 Radicado SDA No. 2019ER267083 del 15/11/2019</t>
  </si>
  <si>
    <t>No presentó autodeclaración.
 Se estimó carga con el Resultado del PMAE Fase XV, muestra No 0808AN03, Fecha de muestreo:08/08/2019, hora: 11:30- 13:30 Radicado SDA No 2019ER288471 del 11/12/2019</t>
  </si>
  <si>
    <t>No autodeclarado por la EAAB-ESP.  Se estimó la carga con los resultados del PMAE Fase XV, Muestra No. 0509SE01, Fecha de muestreo: 05/09/2019, Hora: 06:30 - 08:30</t>
  </si>
  <si>
    <t>No autodeclarado por la EAAB-ESP. Se estimó la carga con los resultados del PMAE Fase XV, Muestra No. 0307HA02, Fecha de muestreo: 03/07/2019, Hora: 07:30 - 09:30</t>
  </si>
  <si>
    <t xml:space="preserve">No autodeclarado por la EAAB-ESP. Se estimó la carga contaminante con los resultados del PMAE Fase XV, Muestra No. 1009FE03, Fecha de muestreo: 10/09/2019, Hora: 10:45-12:45. </t>
  </si>
  <si>
    <t>Autodeclaración de Vertimientos EAAB-ESP 2019. Radicado SDA No. 2020ER09076 del 16/01/2020. La EAAB informa que al momento de la visita no se presentó vertimiento, soporte año 2018, no obstante lo anterior, se toma el valor proyectado en el Anexo 3 de la Resolución 3428 de 2017.</t>
  </si>
  <si>
    <t>Resultados del PMAE Fase XV, Muestra 0204HA02, Fecha de muestreo: 02/04/2019, Hora: 9:45 - 11:45.</t>
  </si>
  <si>
    <t xml:space="preserve">Resultados del PMAE Fase XV, Muestra: 1104SA03, Fecha de muestreo: 11/04/2019. Hora: 10:10 - 12:10. </t>
  </si>
  <si>
    <t>Resultados del PMAE Fase XV, Muestra 0204SA02, Fecha de muestreo: 02/04/2019, Hora: 10:30 - 12:30.</t>
  </si>
  <si>
    <t>Autodeclaración de Vertimientos EAAB-ESP 2019. Radicado SDA No. 2020ER09076 del 16/01/2020. La EAAB-ESP informa que no presenta vertimiento al momento de la visita, soporte del año 2018. Se estimó la carga con los resultados del PMAE Fase XV, Muestra No. 2208WI02, Fecha de muestreo:22/08/2019, Hora: 10:30 - 12:30.</t>
  </si>
  <si>
    <t>Autodeclaración de Vertimientos EAAB-ESP 2019. Radicado SDA No. 2020ER09076 del 16/01/2020. La EAAB-ESP informa que no presenta vertimiento al momento de la visita, soporte del año 2018. Se estimó la carga con los resultados del PMAE Fase XV, Muestra No. 2208WI01, Fecha de muestreo:22/08/2019, Hora: 08:00 - 10:00.</t>
  </si>
  <si>
    <t>Autodeclaración de Vertimientos EAAB-ESP 2019. Radicado SDA No. 2020ER09076 del 16/01/2020. No reporta vertimiento, sin embargo, se toma el dato de proyección de carga contaminante contemplado en el Anexo 3 de la Resolución 3428 de 2017</t>
  </si>
  <si>
    <t>Resultados del PMAE Fase XV, Muestra No.2307SE02, Fecha de muestreo:23/07/2019, Hora: 07:45 - 09:45.</t>
  </si>
  <si>
    <t>Resultados del PMAE Fase XV, Muestra No.2905JG01, Fecha de muestreo:29/05/2019, Hora: 07:00 - 09:00.</t>
  </si>
  <si>
    <t>Resultados del PMAE Fase XV, Muestra No.2905SA01, Fecha de muestreo:29/05/2019, Hora: 06:50 - 08:50.</t>
  </si>
  <si>
    <t>Resultados del PMAE Fase XV, muestra No.2905JG02, Fecha de muestreo:29/05/2019, hora: 09:25 - 11:25.</t>
  </si>
  <si>
    <t>Resultados del PMAE Fase XV, Muestra No.2905SA02, Fecha de muestreo: 29/05/2019, Hora: 09:15 - 11:15.</t>
  </si>
  <si>
    <t>Autodeclaración de Vertimientos EAAB-ESP 2019. Radicado SDA No. 2020ER09076 del 16/01/2020. La EAAB-ESP informa que presenta vertimiento menor a 0,1 al momento de la visita, Se estimó la carga con los resultados del PMAE Fase XV, Muestra No. 1607HA01, Fecha de muestreo: 16/07/2019, Hora: 07:45 - 09:45.</t>
  </si>
  <si>
    <t>No autodeclarado por la EAAB-ESP.
Se estimó la carga con los resultados del PMAE Fase XV, Muestra No. 1507SE02, Fecha de muestreo: 15/07/2019, Hora: 10:15 - 12:15.</t>
  </si>
  <si>
    <t>No autodeclarado por la EAAB-ESP.
Se estimó la carga con los resultados del PMAE Fase XV, Muestra No. 1507SE01, Fecha de muestreo: 15/07/2019, Hora: 08:00 - 10:00.</t>
  </si>
  <si>
    <t>Resultado del PMAE Fase XV, muestra No. 1809HA01, Fecha de muestreo: 18/09/2019, Hora: 7:40-9:40</t>
  </si>
  <si>
    <t>Autodeclaración de Vertimientos EAAB-ESP 2019. Radicado SDA No. 2020ER09076 del 16/01/2020, la EAAB informa que no presenta vertimiento al momento de la visita (28/02/2019, Hora: 09:19). Se estimó la carga con los resultados del PMAE Fase XV, Muestra No. 1607HA02, Fecha de muestreo: 16/07/2019, Hora: 10:15 - 12:15</t>
  </si>
  <si>
    <t>No autodeclarado por la EAAB-ESP.
Se estimó la carga con los resultados del PMAE Fase XV, Muestra No. 1607HA03, Fecha de muestreo: 16/07/2019, Hora: 13:15 - 15:15.</t>
  </si>
  <si>
    <t>No autodeclarado por la EAAB-ESP.
Se estimó la carga con los resultados del PMAE Fase XV, Muestra No. 1507SE03, Fecha de muestreo: 16/07/2019, Hora: 12:45 - 14:45.</t>
  </si>
  <si>
    <t>No autodeclarado por la EAAB-ESP.
Se estimó la carga con los resultados del PMAE Fase XV, Muestra No. 2907SE02, Fecha de muestreo: 29/07/2019, Hora: 14:30 - 16:30.</t>
  </si>
  <si>
    <t>No autodeclarado por la EAAB-ESP.
Se estimó la carga con los resultados del PMAE Fase XV, Muestra No. 2907SE01, Fecha de muestreo: 29/07/2019, Hora: 14:20.</t>
  </si>
  <si>
    <t>Resultados del PMAE Fase XV, Muestra No. 1807WI01, Fecha de muestreo: 18/07/2019, hora: 07:45-09:45.</t>
  </si>
  <si>
    <t>Resultados del PMAE Fase XV, Muestra No. 1807WI02, Fecha de muestreo: 18/07/2019, Hora: 08:00-10:00.</t>
  </si>
  <si>
    <t>Resultados del PMAE Fase XV, Muestra No. 1807WI03, Fecha de muestreo: 18/07/2019, hora: 10:30-12:30.</t>
  </si>
  <si>
    <t xml:space="preserve">Autodeclaración de Vertimientos EAAB-ESP 2019. Radicado SDA No. 2020ER09076 del 16/01/2020, caracterización del año 2018. Se estimó la carga con los resultados del PMAE Fase XV, Muestra No. 1807SE03, Fecha de muestreo: 18/07/2019, Hora: 12:10-14:10.
</t>
  </si>
  <si>
    <t>Resultados del PMAE Fase XV, Muestra No. 1807SE02, Fecha de muestreo: 18/07/2019, Hora: 10:00-12:00.</t>
  </si>
  <si>
    <t>Autodeclaración de Vertimientos EAAB-ESP 2019. Radicado SDA No. 2020ER09076 del 16/01/2020. Caracterización del año 2018. 
Carga proyectada en el Anexo 3 de la Resolución 3428 de 2017.</t>
  </si>
  <si>
    <t>Resultados PMAE Fase XV, Muestra: 1610DC03. Fechade muestreo: 16/10/2019, Hora: 13:50 - 15:50.</t>
  </si>
  <si>
    <t>No autodeclarado por la EAAB-ESP, se estimó la carga contaminante con los resultados PMAE Fase XV, Muestra: 1610DC02, Fecha de muestreo: 16/10/2019. Hora: 11:45 - 13:45.</t>
  </si>
  <si>
    <t>Autodeclaración de Vertimientos EAAB-ESP 2019. Radicado SDA No. 2020ER09076 del 16/01/2020. Se presenta el dato de proyección de carga contaminante contemplado en el Anexo 3 de la Resolución 3428 de 2017. No obstante, se estimó la carga contaminante con los los  resultados del PMAE Fase XV, Muestra No. 2908SE01, Fecha de muestreo: 29/08/2019, Hora: 08:00 - 10:00.</t>
  </si>
  <si>
    <t>Resultados del PMAE Fase XV, Muestra: 2908SE03, Fecha: 29/08/2019, Hora: 13:00 - 15:00.</t>
  </si>
  <si>
    <t>Resultados del PMAE Fase XV, Muestra: 2908SE02, Fecha: 29/08/2019, Hora: 10:00 - 12:00.</t>
  </si>
  <si>
    <t>Autodeclaración de Vertimientos EAAB-ESP 2019. Radicado SDA No. 2020ER09076 del 16/01/2020. La EAAB informa que no se presentó vertimiento al momento de la visita, soporte 2017. Sin embargo se estimó la carga con la información del Radicado SDA No. 2019ER291028 del 13/12/2019 que corresponde al informe semestral del PSMV</t>
  </si>
  <si>
    <t>14:15-16:15</t>
  </si>
  <si>
    <t>No autodeclarado por la EAAB-ESP. Se estimó la carga contaminante con los resultados del PMAE Fase XV, Muestra No. 2910SE01, Fecha de muestreo: 29/10/2019, Hora: 09:50 - 11:50</t>
  </si>
  <si>
    <t>Resultados PMAE Fase XV, Muestra No. 0209WI02, Fecha de muestreo: 2/09/2019, Hora: 09:45 - 11:45.</t>
  </si>
  <si>
    <t>Autodeclaración de Vertimientos EAAB-ESP 2019. Radicado SDA No. 2020ER09076 del 16/01/2020. Caracterización del año 2018. Se estimó la carga contaminante con los resultados del PMAE Fase XV, Muestra No. 0209WI03, Fecha de muestreo: 2/09/2019, Hora: 10:00 - 12:00.</t>
  </si>
  <si>
    <t>Resultados PMAE Fase XV, Muestra No. 2806WI01, Fecha de muestreo: 28/06/2019, Hora: 13:00 - 15:00.</t>
  </si>
  <si>
    <t>Autodeclaración de Vertimientos EAAB-ESP 2019. Radicado SDA No. 2020ER09076 del 16/01/2020. Caracterización del año 2018. Se estimó la carga contaminante con los resultados del PMAE Fase XV, Muestra No. 0407SE02, Fecha de muestreo: 04/07/2019, Hora: 11:45 - 13:45.</t>
  </si>
  <si>
    <t>Resultados PMAE Fase XV, Muestra No. 2806WI02, Fecha de muestreo: 28/06/2019, Hora: 13:00 - 15:00.</t>
  </si>
  <si>
    <t>Resultados PMAE Fase XV, Muestra No. 1007WI02, Fecha de muestreo: 10/07/2019, Hora: 10:00 - 12:00.</t>
  </si>
  <si>
    <t>Resultados PMAE Fase XV, Muestra No. 0209HA03, Fecha de muestreo: 02/09/2019, Hora: 11:15 - 13:15.</t>
  </si>
  <si>
    <t>Resultados PMAE Fase XV, Muestra No. 0407WI02, Fecha de muestreo: 04/07/2019, Hora: 10:00 - 12:00.</t>
  </si>
  <si>
    <t>Autodeclaración de Vertimientos EAAB-ESP 2019. Radicado SDA No. 2020ER09076 del 16/01/2020. Caracterización de 2018, se estimó la carga contaminante con los resultados PMAE Fase XV, Muestra No. 0407WI01, Fecha de muestreo: 04/07/2019, Hora: 07:00 - 09:00.</t>
  </si>
  <si>
    <t>No autodeclarado por la EAAB-ESP. Se estimó la carga con los resultados PMAE Fase XV, Muestra No. 1610WI01, Fecha de muestreo: 16/10/2019, Hora: 07:20 - 09:20.</t>
  </si>
  <si>
    <t>No autodeclarado por la EAAB-ESP. Se estimó la carga con los resultados PMAE Fase XV, Muestra No. 3009SE01, Fecha de muestreo: 30/09/2019, Hora: 9:30 - 11:30.</t>
  </si>
  <si>
    <t>Se estimó la carga con los resultados PMAE Fase XV, Muestra No. 1709SE03, Fecha de muestreo: 17/09/2019, Hora: 10:45 - 12:45.</t>
  </si>
  <si>
    <t>Se estimó la carga con los resultados PMAE Fase XV, Muestra No. 0509SE02, Fecha de muestreo: 05/09/2019, Hora: 9:45 - 11:45.</t>
  </si>
  <si>
    <t>Se estimó la carga con los resultados PMAE Fase XV, Muestra No. 0509SE03, Fecha de muestreo: 05/09/2019, Hora: 10:40 - 12:40.</t>
  </si>
  <si>
    <t>Autodeclaración de Vertimientos EAAB-ESP 2019. Radicado SDA No. 2020ER09076 del 16/01/2020. La EAAB informa que no se presentó vertimiento al momento de la visita. Se estimó la carga contaminante con los resultados del PMAE Fase XV, Muestra No. 2208SE01, Fecha de muestreo: 22/08/2019, Hora: 07:45 - 09:45.</t>
  </si>
  <si>
    <t>Se estimó la carga contaminante con los resultados del PMAE Fase XV, Muestra No. 2208SE02, Fecha de muestreo: 22/08/2019, Hora: 08:00 - 10:00.</t>
  </si>
  <si>
    <t>Resultados PMAE Fase XV, Muestra No. 2208SE03, Fecha de muestreo: 22/08/2019, Hora: 10:00 - 12:00.</t>
  </si>
  <si>
    <t>Resultados PMAE Fase XV, Muestra No. 0307HA04, Fecha de muestreo: 03/07/2019, Hora: 13:20 - 15:20.</t>
  </si>
  <si>
    <t>Autodeclaración de Vertimientos EAAB-ESP 2019. Radicado SDA No. 2020ER09076 del 16/01/2020. Se autodeclara el dato proyectado del Anexo 3 de la Resolución 3428 de 2017. No obstante, se estimó la carga contaminante con los resultados PMAE Fase XV, Muestra No. 0307HA03, Fecha de muestreo: 03/07/2019, Hora: 11:00 - 13:00.</t>
  </si>
  <si>
    <t>Autodeclaración de Vertimientos EAAB-ESP 2019. Radicado SDA No. 2020ER09076 del 16/01/2020. Se presenta el dato de proyección de carga contaminante contemplado en el Anexo 3 de la Resolución 3428 de 2017. No obstante se estimó la carga contaminante con los resultados PMAE Fase XV, Muestra No. 0509AN01, Fecha de muestreo: 05/09/2019, Hora: 07:00 - 09:00.</t>
  </si>
  <si>
    <t>Resultados PMAE Fase XV, Muestra No. 0509AN02, Fecha de muestreo: 05/09/2019, Hora: 8:45-10:45.</t>
  </si>
  <si>
    <t>No autodeclarado por la EAAB-ESP. No obstante, se estimó la carga contaminante con los resultados PMAE Fase XV, Muestra No. 0509AN03, Fecha de muestreo: 05/09/2019, Hora: 11:45 - 13:45.</t>
  </si>
  <si>
    <t>Resultados PMAE Fase XV, Muestra No. 1309HA01, Fecha de muestreo: 13/09/2019, Hora: 06:10 - 08:10.</t>
  </si>
  <si>
    <t>Resultados PMAE Fase XV, Muestra No. 2803WI02, Fecha de muestreo: 28/03/2019, Hora: 07:45 - 09:45.</t>
  </si>
  <si>
    <t>No autodeclarado por la EAAB-ESP. Se estimó la carga contaminante con los  resultados del PMAE Fase XV, Muestra No. 1109SE01, Fecha de muestreo: 11/09/2019, Hora: 06:40 - 08:40</t>
  </si>
  <si>
    <t>No autodeclarado por la EAAB-ESP. Se estimó la carga contaminante con los  resultados del PMAE Fase XV, Muestra No. 1109SE02, Fecha de muestreo: 11/09/2019, Hora: 06:50 - 08:50</t>
  </si>
  <si>
    <t>No autodeclarado por la EAAB-ESP. Se estimó la carga contaminante con los  resultados del PMAE Fase XV, Muestra No. 1109SE04, Fecha de muestreo: 11/09/2019, Hora: 08:05 - 10:05</t>
  </si>
  <si>
    <t>No autodeclarado por la EAAB-ESP. Se estimó la carga contaminante con los  resultados del PMAE Fase XV, Muestra No. 1109SE03, Fecha de muestreo: 11/09/2019, Hora: 07:00 - 09:00</t>
  </si>
  <si>
    <t>No autodeclarado por la EAAB-ESP. Se estimó la carga contaminante con los  resultados del PMAE Fase XV, Muestra No. 1709SE01, Fecha de muestreo: 17/09/2019, Hora: 6:00-8:00</t>
  </si>
  <si>
    <t>No autodeclarado por la EAAB-ESP. Se estimó la carga contaminante con los  resultados del PMAE Fase XV, Muestra No. 1709SE02, Fecha de muestreo: 17/09/2019, Hora: 08:15 - 10:15</t>
  </si>
  <si>
    <t>Cristina Arango Olaya</t>
  </si>
  <si>
    <t>No atudeclarado por la EAAB-ESP. Se estimó con los resultados del PMAE XV PMAE, Muestra No.2108WI03, Fecha de muestreo 21/08/2019, Hora: 15:30-17:30.</t>
  </si>
  <si>
    <t xml:space="preserve">No atudeclarado por la EAAB-ESP. Se estimó la carga contaminante con los resultados del PMAE Fase XV, Muestra No.2108WI04, Fecha de muestreo: 21/08/2019. Hora: 16:00-18:00. </t>
  </si>
  <si>
    <t>No atudeclarado por la EAAB-ESP. Se estimó la carga contaminante con los resultados del PMAE Fase XV, Muestra No. 2308AN02, Fecha de muestreo: 23/11/2019, Hora: 10:10 - 12:10.</t>
  </si>
  <si>
    <t>Autodeclaración de Vertimientos EAAB-ESP 2019. Radicado SDA No. 2020ER09076 del 16/01/2020. Se reporta dato correspondiente al año 2017 (01/11/2017). Se estimó la carga contaminante con los Resultados del PMAE Fase XV, Muestra No. 2308AN03, Fecha de muestreo: 23/11/2019, Hora: 10:15 - 12:15.</t>
  </si>
  <si>
    <t>Se estimó la carga contaminante como el preomedio dela autodeclaración de vertimientos y los resultados del PMAE Fase XV</t>
  </si>
  <si>
    <t>Autodeclaración de Vertimientos EAAB-ESP 2019. Radicado SDA No. 2020ER09076 del 16/01/2020. La EAAB-ESP informa que el vertimiento está inundado. Se toma el valor de carga del Anexo 3 de la Resolución 3428 de 2017.</t>
  </si>
  <si>
    <t>17:00 - 19:00</t>
  </si>
  <si>
    <t xml:space="preserve">Autodeclaración de Vertimientos EAAB-ESP 2019. Radicado SDA No. 2020ER09076 del 16/01/2020. Se presenta carga proyectada en el Anexo 3 de la Resolución 3428 de 2017, no obstante se estimó la carga con los resultados del PMAE Fase XV, Muestra No. 0304HA04, Fecha de muestreo: 3/04/2019. Hora: 17:00-19:00. </t>
  </si>
  <si>
    <t>Autodeclaración de Vertimientos EAAB-ESP 2019. Radicado SDA No. 2020ER09076 del 16/01/2020. La EAAB-ESP informa que no presenta vertimiento al momento de la visita. Sin embargo en el soporte se evidencia muestras de vertimiento por lo cula se toma el valor de carga del Anexo 3 de la Resolución 3428 de 2017, .</t>
  </si>
  <si>
    <t>Resultados del PMAE Fase XV, Muestra No. 1009FE04, Fecha de muestreo: 10/09/2019, Hora: 13:25-15:25.</t>
  </si>
  <si>
    <t>Autodeclaración de Vertimientos EAAB-ESP 2019. Radicado SDA No. 2020ER09076 del 16/01/2020. La EAAB-ESP informa que no se presentó vertimiento en el momento de la visita, sin embargo, en el soporte se aprecian trazas de vertimiento, por lo anterior se toma el dato de proyección de carga del Anexo 3 de la Resolución 3428 de 2017</t>
  </si>
  <si>
    <t>Autodeclaración de Vertimientos EAAB-ESP 2019. Radicado SDA No. 2020ER09076 del 16/01/2020. Se presenta monitoreo de 2018, por lo caul se toma el dato de carga proyectada del Anexo 3 de la Resolución 3428 de 2017.</t>
  </si>
  <si>
    <t>Autodeclaración de Vertimientos EAAB-ESP 2019. Radicado SDA No. 2020ER09076 del 16/01/2020. La EAAB-ESP presenta caracterización de 2018, no corresponde al periodo por lo cual se toma el valor proyectado en el Anexo 3 de la Resolución 3428 de 2017, .</t>
  </si>
  <si>
    <t xml:space="preserve"> 9:05</t>
  </si>
  <si>
    <t>Autodeclaración de Vertimientos EAAB-ESP 2019. Radicado SDA No. 2020ER09076 del 16/01/2020. Se presenta inconsistencia en el soporte de caracterización en el código de la muestra. Se estima la carga contaminante con los resultados del PMAE Fase XV, Muestra No. 1707AN04, Fecha de muestreo: 17/07/2019, Hora: 13:30-15:30.</t>
  </si>
  <si>
    <t>Autodeclaración de Vertimientos EAAB-ESP 2019. Radicado SDA No. 2020ER09076 del 16/01/2020. No reporta vertimiento.</t>
  </si>
  <si>
    <t>Autodeclaración de Vertimientos EAAB-ESP 2019. Radicado SDA No. 2020ER09076 del 16/01/2020. La EAAB informa que no presenta vertimiento al momento de la visita (26/03/2019, Hora: 15:14). Se estima la carga contaminante con los resultados del PMAE Fase XV, Muestra 0110FE02, Fecha de muestreo: 01/10/2019, Hora: 12:30 - 14:30</t>
  </si>
  <si>
    <t>Autodeclaración de Vertimientos EAAB-ESP 2019. Radicado SDA No. 2020ER09076 del 16/01/2020. 
caracterización del año 2018. Se toma el dato de carga proyectado en el Anexo 3 de la Resolución 3428 de 2017.</t>
  </si>
  <si>
    <t>No autodeclarado por la EAAB-ESP. Se toma el valor de la carga proyectada en el Anexo 3 de la Resolución 3428 de 2017, en recorridos de la SRHS se evidencia vertimiento.</t>
  </si>
  <si>
    <t xml:space="preserve">Autodeclaración de Vertimientos EAAB-ESP 2019. Radicado SDA No. 2020ER09076 del 16/01/2020. La EAAB informa que no presenta vertimiento.
Sin embargo, se toma el dato de proyección de carga contaminante contemplado en el Anexo 3 de la Resolución 3428 de 2017, punto no intervenido.
</t>
  </si>
  <si>
    <t xml:space="preserve">Autodeclaración de Vertimientos EAAB-ESP 2019. Radicado SDA No. 2020ER09076 del 16/01/2020. Se indica que por solicitud de la Gerencia Ambiental no se toma muestra del punto. </t>
  </si>
  <si>
    <t>Se estimó la carga con los resultados del PMAE Fase XV, monitoreo 24 horas.</t>
  </si>
  <si>
    <t xml:space="preserve">Autodeclaración de Vertimientos EAAB-ESP 2019. Radicado SDA No. 2020ER09076 del 16/01/2020, caracterización del año 2018. Se toma el dato de la carga proyectada en el Anexo 3 de la Resolución 3428 de 2017. </t>
  </si>
  <si>
    <t xml:space="preserve">Autodeclaración de Vertimientos EAAB-ESP 2019. Radicado SDA No. 2020ER09076 del 16/01/2020, caudal inferior a 0,1 l/s. Se toma el dato de la carga proyectada en el Anexo 3 de la Resolución 3428 de 2017. </t>
  </si>
  <si>
    <t xml:space="preserve">Se estima la carga contaminante scon los resultados del PMAE Fase XV, muestra No 0808AN01, Fecha de muestreo:08/08/2019, hora: 07:00 - 09:00 </t>
  </si>
  <si>
    <t xml:space="preserve">Se estima la carga contaminante con los resultados del PMAE Fase XV, muestra No 0808AN02, Fecha de muestreo:08/08/2019, hora: 07:40- 09:40 </t>
  </si>
  <si>
    <t>Autodeclaración de Vertimientos EAAB-ESP 2019. Radicado SDA No. 2020ER09076 del 16/01/2020. La EAAB informa que no presenta vertimiento al momento de la visita. No obstante el soporte no permite iferir ausencia de vartimiento, se toma el valor de la carga proyectada en el Anexo 3 de la Resolución 3428 de 2017.</t>
  </si>
  <si>
    <t>Autodeclaración de Vertimientos EAAB-ESP 2019. Radicado SDA No. 2020ER09076 del 16/01/2020, la EAAB informa que no se presenta vertimiento al momento de la visita. No obstante, el soporte no permite inferir ausencia de vertimiento, se toma el valor de la carga proyectada en el Anexo 3 de la Resolución 3428 de 2017.</t>
  </si>
  <si>
    <t>Autodeclaración de Vertimientos EAAB-ESP 2019. Radicado SDA No. 2020ER09076 del 16/01/2020. La EAAB informa que no se presentó vertimiento al momento de la visita. No obstante, el soporte no permite inferiri ausencia de vertimiento, se toma el dato de proyección de carga contaminante contemplado en el Anexo 3 de la Resolución 3428 de 2017.</t>
  </si>
  <si>
    <t>No autodeclarado por la EAAB-ESP. Se estimó la carga contaminante con los  resultados del PMAE Fase XV, Muestra No. 1010AN05, Fecha de muestreo: 10/10/2019, Hora: 14:00</t>
  </si>
  <si>
    <t>1010AN05</t>
  </si>
  <si>
    <t>Autodeclaración de Vertimientos EAAB-ESP 2019. Radicado SDA No. 2020ER09076 del 16/01/2020. La EAAB informa que no se presentó vertimiento al momento de la visita, sin embargo, en recorridos de la SRHS se observó vertimiento, se toma el dato proyectado del Anexo 3 de la Resolución 4328 de 2017</t>
  </si>
  <si>
    <t>04°32'15,09"N</t>
  </si>
  <si>
    <t>74°08'45.33"W</t>
  </si>
  <si>
    <t>No autodeclarado por la EAAB-ESP. Se toma dato de PMAE Fase XIV (Radicado CAR 2017ER261477 del 21/12/2017. Radicado Analquim Ltda 2017ER257423 del 19/12/2017). Muestra CAR No. 5384-17. Muestra Analquim Ltda No. 148559.</t>
  </si>
  <si>
    <t>Autodeclaración de Vertimientos EAAB-ESP 2019. Radicado SDA No. 2020ER09076 del 16/01/2020. Monitoreo de 2018, se toma el dato de la carga proyectada en el Anexo 3 de la Resolución 3428 de 2017.</t>
  </si>
  <si>
    <t>CL 80 SUR KR 18 D BIS</t>
  </si>
  <si>
    <t>C.C. EAB-ESP 2019</t>
  </si>
  <si>
    <t>EAAB-ESP</t>
  </si>
  <si>
    <t xml:space="preserve">Autodeclaración de Vertimientos EAAB-ESP 2019. Radicado SDA No. 2020ER09076 del 16/01/2020, la muestra fue tomada en 2018, se estimó la carga con el resultado del PMAE Fase XV. Muestra: 0409WI02. Fecha: 04/09/2019. Hora: 08:30 - 10:30 </t>
  </si>
  <si>
    <t>C.C. DBO5      
(Kg/año)</t>
  </si>
  <si>
    <t xml:space="preserve"> C.C. SST       
(Kg/año)</t>
  </si>
  <si>
    <t>No autodeclarado por la EAAB-ESP. Se estimó la carga con los resultados del PMAE Fase XV, Muestra No. 1405JG02, Fecha de muestreo: 14/05/2019, Hora: 08:10 - 10:10.</t>
  </si>
  <si>
    <t>No autodeclarado por la EAAB-ESP. Resultados PMAE Fase XV.Radicado 2019ER267906 del 18/11/2019. Muestra 0507SA01. Fecha de muestreo: 5/07/2019. Hora: 06:30 - 08:30.</t>
  </si>
  <si>
    <t>No autodeclarado por la EAAB-ESP. Resultados PMAE Fase XV.Radicado 2019ER267906 del 18/11/2019. Muestra 0507SA02. Fecha de muestreo: 5/07/2019. Hora: 08:30 - 10:30.</t>
  </si>
  <si>
    <t>KR 51 No 58A-35 Sur
Predio de la EAAB, al costado Norte de la Avenida Gaitán</t>
  </si>
  <si>
    <t>Autodeclaración de Vertimientos EAAB-ESP 2018. Radicado SDA No. 2019ER13760 del 18/01/2019. Reporta que la estructura no presenta vertimiento al momnto de la visita. Se toma el dato proyectado de carga contaminante contemplado en el Anexo 3 de la Resolución 3428 de 2017, punto no intervenido.</t>
  </si>
  <si>
    <t>No autodeclarado por la EAAB-ESP. Se toma dato de PMAE Fase XIV (Radicado CAR 2017ER261328 del 21/12/2017. Radicado Analquim Ltda 2017ER257423 del 19/12/2017). Muestra CAR No. 5288-17. Muestra Analquim Ltda No. 148424.</t>
  </si>
  <si>
    <t>No autodeclarado por la EAAB-ESP. Se estimó la carga contaminante con los resultados del PMAE Fase XV, Muestra No. 0407WI03, Fecha de muestreo 04/07/2019, Hora: 13:00 - 15:00.</t>
  </si>
  <si>
    <t>Autodeclaración de Vertimientos EAAB-ESP 2018. Radicado SDA No. 2019ER13760 del 18/01/2019. La EAAB informa que no presenta vertimiento al momento de la visita, soporte del 09/07/2018, hora: 13:15. Se estimó la carga contaminante con los resultados del PMAE Fase XV, Muestra No. 0209WI01, Fecha de muestreo: 2/09/2019, Hora: 07:30 - 09:30.</t>
  </si>
  <si>
    <t>No autodeclarado por la EAAB-ESP. Se estimó la carga contaminante con los resultados del PMAE Fase XV. Radicado 2019ER295160 del 18/12/2019. Muestra No. 0209WI04. Fecha de muestreo: 2/09/2019. Hora: 12:45 - 14:45.</t>
  </si>
  <si>
    <t>C.C. DBO5     
 (Kg/año)</t>
  </si>
  <si>
    <t xml:space="preserve"> C.C. SST        
(Kg/año)</t>
  </si>
  <si>
    <t>Sí</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</si>
</sst>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00"/>
    <numFmt numFmtId="179" formatCode="#,##0.000"/>
    <numFmt numFmtId="180" formatCode="&quot;$&quot;\ #,##0"/>
    <numFmt numFmtId="181" formatCode="0.00000"/>
    <numFmt numFmtId="182" formatCode="0.0000000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0.0000"/>
    <numFmt numFmtId="188" formatCode="#,##0.0000"/>
    <numFmt numFmtId="189" formatCode="#,##0.00000"/>
    <numFmt numFmtId="190" formatCode="#,##0.0"/>
    <numFmt numFmtId="191" formatCode="0.0000000000"/>
    <numFmt numFmtId="192" formatCode="0.000000000"/>
    <numFmt numFmtId="193" formatCode="0.00000000"/>
    <numFmt numFmtId="194" formatCode="0.0000000"/>
    <numFmt numFmtId="195" formatCode="0.000000"/>
    <numFmt numFmtId="196" formatCode="0.0"/>
    <numFmt numFmtId="197" formatCode="mmm\-yyyy"/>
    <numFmt numFmtId="198" formatCode="#,##0.000000"/>
    <numFmt numFmtId="199" formatCode="#,##0.0000000"/>
    <numFmt numFmtId="200" formatCode="#,##0.00000000"/>
    <numFmt numFmtId="201" formatCode="_(&quot;$&quot;\ * #,##0.0_);_(&quot;$&quot;\ * \(#,##0.0\);_(&quot;$&quot;\ * &quot;-&quot;??_);_(@_)"/>
    <numFmt numFmtId="202" formatCode="_(&quot;$&quot;\ * #,##0_);_(&quot;$&quot;\ * \(#,##0\);_(&quot;$&quot;\ * &quot;-&quot;??_);_(@_)"/>
    <numFmt numFmtId="203" formatCode="_(* #,##0_);_(* \(#,##0\);_(* &quot;-&quot;??_);_(@_)"/>
    <numFmt numFmtId="204" formatCode="_(* #,##0.000_);_(* \(#,##0.000\);_(* &quot;-&quot;???_);_(@_)"/>
    <numFmt numFmtId="205" formatCode="_(* #,##0.0000_);_(* \(#,##0.0000\);_(* &quot;-&quot;????_);_(@_)"/>
    <numFmt numFmtId="206" formatCode="_-* #,##0.00\ _€_-;\-* #,##0.00\ _€_-;_-* &quot;-&quot;??\ _€_-;_-@_-"/>
    <numFmt numFmtId="207" formatCode="_ [$€-2]\ * #,##0.00_ ;_ [$€-2]\ * \-#,##0.00_ ;_ [$€-2]\ * &quot;-&quot;??_ "/>
    <numFmt numFmtId="208" formatCode="0.0%"/>
    <numFmt numFmtId="209" formatCode="[$-240A]dddd\,\ dd&quot; de &quot;mmmm&quot; de &quot;yyyy"/>
    <numFmt numFmtId="210" formatCode="[$-240A]hh:mm:ss\ AM/PM"/>
    <numFmt numFmtId="211" formatCode="&quot;$&quot;#,##0"/>
    <numFmt numFmtId="212" formatCode="[$-F400]h:mm:ss\ AM/PM"/>
    <numFmt numFmtId="213" formatCode="[$-240A]dddd\,\ d\ &quot;de&quot;\ mmmm\ &quot;de&quot;\ yyyy"/>
    <numFmt numFmtId="214" formatCode="[$-240A]h:mm:ss\ AM/PM"/>
    <numFmt numFmtId="215" formatCode="h:mm:ss;@"/>
  </numFmts>
  <fonts count="66">
    <font>
      <sz val="11"/>
      <color theme="1"/>
      <name val="Calibri"/>
      <family val="2"/>
    </font>
    <font>
      <sz val="11"/>
      <color indexed="8"/>
      <name val="Calibri"/>
      <family val="2"/>
    </font>
    <font>
      <sz val="10"/>
      <name val="Arial"/>
      <family val="2"/>
    </font>
    <font>
      <sz val="10"/>
      <name val="Arial Narrow"/>
      <family val="2"/>
    </font>
    <font>
      <b/>
      <sz val="10"/>
      <name val="Arial Narrow"/>
      <family val="2"/>
    </font>
    <font>
      <sz val="9"/>
      <name val="Tahoma"/>
      <family val="2"/>
    </font>
    <font>
      <b/>
      <sz val="9"/>
      <name val="Tahoma"/>
      <family val="2"/>
    </font>
    <font>
      <b/>
      <vertAlign val="subscript"/>
      <sz val="10"/>
      <color indexed="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Narrow"/>
      <family val="2"/>
    </font>
    <font>
      <sz val="10"/>
      <color indexed="8"/>
      <name val="Calibri"/>
      <family val="2"/>
    </font>
    <font>
      <b/>
      <sz val="10"/>
      <color indexed="8"/>
      <name val="Arial Narrow"/>
      <family val="2"/>
    </font>
    <font>
      <b/>
      <sz val="10"/>
      <color indexed="9"/>
      <name val="Arial Narrow"/>
      <family val="2"/>
    </font>
    <font>
      <sz val="11"/>
      <color indexed="8"/>
      <name val="Arial Narrow"/>
      <family val="2"/>
    </font>
    <font>
      <b/>
      <sz val="10"/>
      <color indexed="8"/>
      <name val="Calibri"/>
      <family val="2"/>
    </font>
    <font>
      <sz val="10"/>
      <color indexed="10"/>
      <name val="Arial Narrow"/>
      <family val="2"/>
    </font>
    <font>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000000"/>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10"/>
      <color rgb="FF000000"/>
      <name val="Arial Narrow"/>
      <family val="2"/>
    </font>
    <font>
      <sz val="10"/>
      <color theme="1"/>
      <name val="Calibri"/>
      <family val="2"/>
    </font>
    <font>
      <b/>
      <sz val="10"/>
      <color theme="1"/>
      <name val="Arial Narrow"/>
      <family val="2"/>
    </font>
    <font>
      <b/>
      <sz val="10"/>
      <color theme="0"/>
      <name val="Arial Narrow"/>
      <family val="2"/>
    </font>
    <font>
      <sz val="11"/>
      <color theme="1"/>
      <name val="Arial Narrow"/>
      <family val="2"/>
    </font>
    <font>
      <b/>
      <sz val="10"/>
      <color theme="1"/>
      <name val="Calibri"/>
      <family val="2"/>
    </font>
    <font>
      <sz val="10"/>
      <color rgb="FFFF0000"/>
      <name val="Arial Narrow"/>
      <family val="2"/>
    </font>
    <font>
      <b/>
      <sz val="10"/>
      <color rgb="FF000000"/>
      <name val="Arial Narrow"/>
      <family val="2"/>
    </font>
    <font>
      <sz val="10"/>
      <color theme="0"/>
      <name val="Arial Narrow"/>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17375D"/>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thin"/>
      <top style="thin"/>
      <bottom style="thin"/>
    </border>
    <border>
      <left style="thin"/>
      <right style="thin"/>
      <top/>
      <bottom style="thin"/>
    </border>
    <border>
      <left/>
      <right style="thin"/>
      <top style="thin"/>
      <bottom style="thin"/>
    </border>
    <border>
      <left style="thin"/>
      <right style="thin"/>
      <top style="thin"/>
      <bottom/>
    </border>
    <border>
      <left style="medium"/>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medium"/>
      <right>
        <color indexed="63"/>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207"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0" fillId="0" borderId="0">
      <alignment/>
      <protection/>
    </xf>
    <xf numFmtId="0" fontId="48" fillId="0" borderId="0">
      <alignment/>
      <protection/>
    </xf>
    <xf numFmtId="0" fontId="2" fillId="0" borderId="0">
      <alignment/>
      <protection/>
    </xf>
    <xf numFmtId="0" fontId="0" fillId="0" borderId="0">
      <alignment/>
      <protection/>
    </xf>
    <xf numFmtId="0" fontId="4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9" fontId="46"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1" fillId="0" borderId="8" applyNumberFormat="0" applyFill="0" applyAlignment="0" applyProtection="0"/>
    <xf numFmtId="0" fontId="54" fillId="0" borderId="9" applyNumberFormat="0" applyFill="0" applyAlignment="0" applyProtection="0"/>
  </cellStyleXfs>
  <cellXfs count="236">
    <xf numFmtId="0" fontId="0" fillId="0" borderId="0" xfId="0" applyFont="1" applyAlignment="1">
      <alignment/>
    </xf>
    <xf numFmtId="0" fontId="3"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55" fillId="0" borderId="0" xfId="0" applyFont="1" applyAlignment="1">
      <alignment horizontal="center" vertical="center" wrapText="1"/>
    </xf>
    <xf numFmtId="0" fontId="55" fillId="0" borderId="0" xfId="0" applyFont="1" applyFill="1" applyAlignment="1">
      <alignment horizontal="center" vertical="center" wrapText="1"/>
    </xf>
    <xf numFmtId="0" fontId="55" fillId="0" borderId="0" xfId="0" applyFont="1" applyAlignment="1">
      <alignment horizontal="center" vertical="center"/>
    </xf>
    <xf numFmtId="0" fontId="55" fillId="0" borderId="0" xfId="0" applyFont="1" applyFill="1" applyAlignment="1">
      <alignment horizontal="center" vertical="center"/>
    </xf>
    <xf numFmtId="0" fontId="55" fillId="0" borderId="10" xfId="0"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0" fontId="55" fillId="0" borderId="10" xfId="0" applyFont="1" applyFill="1" applyBorder="1" applyAlignment="1" applyProtection="1">
      <alignment horizontal="center" vertical="center" wrapText="1"/>
      <protection/>
    </xf>
    <xf numFmtId="178" fontId="55" fillId="0" borderId="10" xfId="0" applyNumberFormat="1" applyFont="1" applyFill="1" applyBorder="1" applyAlignment="1" applyProtection="1">
      <alignment horizontal="center" vertical="center" wrapText="1"/>
      <protection locked="0"/>
    </xf>
    <xf numFmtId="0" fontId="55" fillId="0" borderId="10" xfId="0" applyFont="1" applyFill="1" applyBorder="1" applyAlignment="1">
      <alignment horizontal="center" vertical="center"/>
    </xf>
    <xf numFmtId="0" fontId="3" fillId="0" borderId="10" xfId="0" applyFont="1" applyFill="1" applyBorder="1" applyAlignment="1" applyProtection="1">
      <alignment horizontal="center" vertical="center" wrapText="1"/>
      <protection/>
    </xf>
    <xf numFmtId="2" fontId="55"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0" fontId="56" fillId="0" borderId="10" xfId="0" applyFont="1" applyFill="1" applyBorder="1" applyAlignment="1">
      <alignment horizontal="center" vertical="center"/>
    </xf>
    <xf numFmtId="0" fontId="55" fillId="0" borderId="10" xfId="0" applyFont="1" applyFill="1" applyBorder="1" applyAlignment="1" quotePrefix="1">
      <alignment horizontal="center" vertical="center" wrapText="1"/>
    </xf>
    <xf numFmtId="0" fontId="3" fillId="0" borderId="14" xfId="0" applyFont="1" applyFill="1" applyBorder="1" applyAlignment="1" applyProtection="1">
      <alignment horizontal="center" vertical="center"/>
      <protection locked="0"/>
    </xf>
    <xf numFmtId="0" fontId="55" fillId="0" borderId="14" xfId="0" applyFont="1" applyFill="1" applyBorder="1" applyAlignment="1" applyProtection="1">
      <alignment horizontal="center" vertical="center"/>
      <protection locked="0"/>
    </xf>
    <xf numFmtId="3" fontId="55" fillId="0" borderId="0" xfId="0" applyNumberFormat="1" applyFont="1" applyFill="1" applyAlignment="1">
      <alignment/>
    </xf>
    <xf numFmtId="0" fontId="3" fillId="0" borderId="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quotePrefix="1">
      <alignment horizontal="center" vertical="center" wrapText="1"/>
    </xf>
    <xf numFmtId="0" fontId="57" fillId="0" borderId="0" xfId="0" applyFont="1" applyFill="1" applyAlignment="1">
      <alignment/>
    </xf>
    <xf numFmtId="0" fontId="55" fillId="0" borderId="0" xfId="0" applyFont="1" applyFill="1" applyAlignment="1">
      <alignment/>
    </xf>
    <xf numFmtId="0" fontId="3" fillId="0" borderId="15"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3" fillId="0" borderId="10" xfId="0" applyFont="1" applyBorder="1" applyAlignment="1">
      <alignment horizontal="center" vertical="center" wrapText="1"/>
    </xf>
    <xf numFmtId="179" fontId="55" fillId="0" borderId="0" xfId="0" applyNumberFormat="1" applyFont="1" applyFill="1" applyBorder="1" applyAlignment="1">
      <alignment horizontal="center" vertical="center"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4" fontId="55"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55" fillId="0" borderId="10" xfId="0" applyFont="1" applyFill="1" applyBorder="1" applyAlignment="1">
      <alignment/>
    </xf>
    <xf numFmtId="14" fontId="55" fillId="0" borderId="10" xfId="0" applyNumberFormat="1" applyFont="1" applyFill="1" applyBorder="1" applyAlignment="1">
      <alignment horizontal="center" vertical="center" wrapText="1"/>
    </xf>
    <xf numFmtId="14" fontId="55" fillId="0" borderId="10" xfId="0" applyNumberFormat="1" applyFont="1" applyFill="1" applyBorder="1" applyAlignment="1" applyProtection="1">
      <alignment horizontal="center" vertical="center" wrapText="1"/>
      <protection locked="0"/>
    </xf>
    <xf numFmtId="178" fontId="55" fillId="0" borderId="10" xfId="0" applyNumberFormat="1" applyFont="1" applyFill="1" applyBorder="1" applyAlignment="1">
      <alignment horizontal="center" vertical="center" wrapText="1"/>
    </xf>
    <xf numFmtId="20" fontId="55" fillId="0" borderId="10" xfId="0" applyNumberFormat="1" applyFont="1" applyFill="1" applyBorder="1" applyAlignment="1">
      <alignment horizontal="center" vertical="center" wrapText="1"/>
    </xf>
    <xf numFmtId="3" fontId="55" fillId="0" borderId="10" xfId="0" applyNumberFormat="1" applyFont="1" applyFill="1" applyBorder="1" applyAlignment="1">
      <alignment horizontal="center" vertical="center"/>
    </xf>
    <xf numFmtId="20" fontId="55" fillId="0" borderId="10" xfId="0" applyNumberFormat="1" applyFont="1" applyFill="1" applyBorder="1" applyAlignment="1" applyProtection="1">
      <alignment horizontal="center" vertical="center" wrapText="1"/>
      <protection locked="0"/>
    </xf>
    <xf numFmtId="0" fontId="3" fillId="0" borderId="13" xfId="72" applyFont="1" applyFill="1" applyBorder="1" applyAlignment="1">
      <alignment horizontal="center" vertical="center" wrapText="1"/>
      <protection/>
    </xf>
    <xf numFmtId="0" fontId="3" fillId="0" borderId="10" xfId="72" applyFont="1" applyFill="1" applyBorder="1" applyAlignment="1">
      <alignment horizontal="center" vertical="center" wrapText="1"/>
      <protection/>
    </xf>
    <xf numFmtId="14" fontId="3" fillId="0" borderId="10" xfId="72" applyNumberFormat="1" applyFont="1" applyFill="1" applyBorder="1" applyAlignment="1">
      <alignment horizontal="center" vertical="center" wrapText="1"/>
      <protection/>
    </xf>
    <xf numFmtId="0" fontId="3" fillId="0" borderId="15" xfId="72" applyFont="1" applyFill="1" applyBorder="1" applyAlignment="1">
      <alignment horizontal="center" vertical="center" wrapText="1"/>
      <protection/>
    </xf>
    <xf numFmtId="20" fontId="3" fillId="0" borderId="10" xfId="72" applyNumberFormat="1" applyFont="1" applyFill="1" applyBorder="1" applyAlignment="1">
      <alignment horizontal="center" vertical="center" wrapText="1"/>
      <protection/>
    </xf>
    <xf numFmtId="3" fontId="3" fillId="0"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6" fillId="0" borderId="10" xfId="0" applyFont="1" applyBorder="1" applyAlignment="1">
      <alignment horizontal="center" vertical="center" wrapText="1"/>
    </xf>
    <xf numFmtId="3"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55" fillId="0" borderId="0" xfId="0" applyFont="1" applyAlignment="1">
      <alignment/>
    </xf>
    <xf numFmtId="0" fontId="55" fillId="0" borderId="10" xfId="0" applyFont="1" applyBorder="1" applyAlignment="1">
      <alignment/>
    </xf>
    <xf numFmtId="14" fontId="55" fillId="34" borderId="10" xfId="0" applyNumberFormat="1" applyFont="1" applyFill="1" applyBorder="1" applyAlignment="1">
      <alignment horizontal="center" vertical="center"/>
    </xf>
    <xf numFmtId="3" fontId="55" fillId="0" borderId="10" xfId="0" applyNumberFormat="1" applyFont="1" applyFill="1" applyBorder="1" applyAlignment="1">
      <alignment vertical="center"/>
    </xf>
    <xf numFmtId="0" fontId="55" fillId="0" borderId="10" xfId="0" applyFont="1" applyBorder="1" applyAlignment="1">
      <alignment horizontal="center" vertical="center" wrapText="1"/>
    </xf>
    <xf numFmtId="4" fontId="4" fillId="2" borderId="10" xfId="0" applyNumberFormat="1" applyFont="1" applyFill="1" applyBorder="1" applyAlignment="1">
      <alignment horizontal="center" vertical="center" wrapText="1"/>
    </xf>
    <xf numFmtId="4" fontId="4" fillId="35" borderId="10" xfId="0" applyNumberFormat="1" applyFont="1" applyFill="1" applyBorder="1" applyAlignment="1">
      <alignment horizontal="center" vertical="center" wrapText="1"/>
    </xf>
    <xf numFmtId="4" fontId="58" fillId="2" borderId="10" xfId="0" applyNumberFormat="1" applyFont="1" applyFill="1" applyBorder="1" applyAlignment="1">
      <alignment horizontal="center" vertical="center" wrapText="1"/>
    </xf>
    <xf numFmtId="4" fontId="58" fillId="35" borderId="10" xfId="0" applyNumberFormat="1" applyFont="1" applyFill="1" applyBorder="1" applyAlignment="1">
      <alignment horizontal="center" vertical="center" wrapText="1"/>
    </xf>
    <xf numFmtId="0" fontId="4" fillId="33" borderId="15" xfId="0" applyFont="1" applyFill="1" applyBorder="1" applyAlignment="1">
      <alignment horizontal="center" vertical="center" wrapText="1"/>
    </xf>
    <xf numFmtId="0" fontId="59" fillId="36" borderId="10" xfId="0" applyFont="1" applyFill="1" applyBorder="1" applyAlignment="1">
      <alignment horizontal="center" vertical="center"/>
    </xf>
    <xf numFmtId="0" fontId="56" fillId="0" borderId="10" xfId="0" applyFont="1" applyBorder="1" applyAlignment="1">
      <alignment horizontal="center" vertical="center"/>
    </xf>
    <xf numFmtId="0" fontId="60" fillId="0" borderId="0" xfId="0" applyFont="1" applyAlignment="1">
      <alignment/>
    </xf>
    <xf numFmtId="0" fontId="4" fillId="33" borderId="15" xfId="0" applyFont="1" applyFill="1" applyBorder="1" applyAlignment="1">
      <alignment horizontal="center" vertical="center" wrapText="1"/>
    </xf>
    <xf numFmtId="1" fontId="55" fillId="0" borderId="10" xfId="0" applyNumberFormat="1" applyFont="1" applyFill="1" applyBorder="1" applyAlignment="1">
      <alignment horizontal="center" vertical="center" wrapText="1"/>
    </xf>
    <xf numFmtId="0" fontId="55" fillId="2" borderId="10" xfId="0" applyFont="1" applyFill="1" applyBorder="1" applyAlignment="1">
      <alignment horizontal="center" vertical="center"/>
    </xf>
    <xf numFmtId="4" fontId="58" fillId="35" borderId="10" xfId="0" applyNumberFormat="1" applyFont="1" applyFill="1" applyBorder="1" applyAlignment="1">
      <alignment horizontal="center" vertical="center"/>
    </xf>
    <xf numFmtId="0" fontId="55" fillId="0" borderId="10" xfId="0" applyFont="1" applyBorder="1" applyAlignment="1">
      <alignment horizontal="center" vertical="center"/>
    </xf>
    <xf numFmtId="14" fontId="55" fillId="0" borderId="10" xfId="0" applyNumberFormat="1" applyFont="1" applyFill="1" applyBorder="1" applyAlignment="1">
      <alignment horizontal="center" vertical="center"/>
    </xf>
    <xf numFmtId="0" fontId="4" fillId="33" borderId="15" xfId="0"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0" fontId="4" fillId="33" borderId="10" xfId="0" applyFont="1" applyFill="1" applyBorder="1" applyAlignment="1">
      <alignment horizontal="center" vertical="center" wrapText="1"/>
    </xf>
    <xf numFmtId="0" fontId="55" fillId="0" borderId="10" xfId="0" applyFont="1" applyFill="1" applyBorder="1" applyAlignment="1" applyProtection="1" quotePrefix="1">
      <alignment horizontal="center" vertical="center" wrapText="1"/>
      <protection locked="0"/>
    </xf>
    <xf numFmtId="4" fontId="61" fillId="35" borderId="10" xfId="0" applyNumberFormat="1" applyFont="1" applyFill="1" applyBorder="1" applyAlignment="1">
      <alignment horizontal="center" vertical="center"/>
    </xf>
    <xf numFmtId="20" fontId="55" fillId="0" borderId="10" xfId="0" applyNumberFormat="1" applyFont="1" applyFill="1" applyBorder="1" applyAlignment="1">
      <alignment horizontal="center" vertical="center"/>
    </xf>
    <xf numFmtId="2" fontId="55" fillId="0"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55" fillId="0" borderId="10" xfId="0" applyFont="1" applyBorder="1" applyAlignment="1">
      <alignment vertical="center"/>
    </xf>
    <xf numFmtId="14" fontId="3" fillId="0" borderId="10" xfId="0" applyNumberFormat="1" applyFont="1" applyFill="1" applyBorder="1" applyAlignment="1">
      <alignment horizontal="center" vertical="center"/>
    </xf>
    <xf numFmtId="2" fontId="55" fillId="0" borderId="10" xfId="0" applyNumberFormat="1" applyFont="1" applyBorder="1" applyAlignment="1">
      <alignment horizontal="center" vertical="center" wrapText="1"/>
    </xf>
    <xf numFmtId="178" fontId="55" fillId="0" borderId="10" xfId="0" applyNumberFormat="1" applyFont="1" applyFill="1" applyBorder="1" applyAlignment="1">
      <alignment horizontal="center" vertical="center"/>
    </xf>
    <xf numFmtId="4" fontId="55" fillId="0" borderId="0" xfId="0" applyNumberFormat="1" applyFont="1" applyFill="1" applyAlignment="1">
      <alignment/>
    </xf>
    <xf numFmtId="4" fontId="55" fillId="0" borderId="0" xfId="0" applyNumberFormat="1" applyFont="1" applyFill="1" applyAlignment="1">
      <alignment horizontal="center" vertical="center" wrapText="1"/>
    </xf>
    <xf numFmtId="4" fontId="55" fillId="0" borderId="0" xfId="0" applyNumberFormat="1" applyFont="1" applyFill="1" applyBorder="1" applyAlignment="1">
      <alignment horizontal="center" vertical="center" wrapText="1"/>
    </xf>
    <xf numFmtId="4" fontId="58" fillId="0" borderId="0" xfId="0" applyNumberFormat="1" applyFont="1" applyFill="1" applyBorder="1" applyAlignment="1">
      <alignment horizontal="center" vertical="center" wrapText="1"/>
    </xf>
    <xf numFmtId="4" fontId="57" fillId="0" borderId="0" xfId="0" applyNumberFormat="1" applyFont="1" applyFill="1" applyAlignment="1">
      <alignment/>
    </xf>
    <xf numFmtId="2" fontId="55" fillId="0" borderId="10" xfId="0" applyNumberFormat="1" applyFont="1" applyFill="1" applyBorder="1" applyAlignment="1">
      <alignment horizontal="center" vertical="center" wrapText="1"/>
    </xf>
    <xf numFmtId="0" fontId="55" fillId="0" borderId="10" xfId="0" applyFont="1" applyFill="1" applyBorder="1" applyAlignment="1">
      <alignment vertical="center" wrapText="1"/>
    </xf>
    <xf numFmtId="14" fontId="55" fillId="0" borderId="10" xfId="0" applyNumberFormat="1" applyFont="1" applyBorder="1" applyAlignment="1">
      <alignment horizontal="center" vertical="center"/>
    </xf>
    <xf numFmtId="4" fontId="4" fillId="0" borderId="0" xfId="0" applyNumberFormat="1" applyFont="1" applyFill="1" applyAlignment="1">
      <alignment horizontal="center" vertical="center"/>
    </xf>
    <xf numFmtId="4" fontId="58" fillId="0" borderId="0" xfId="0" applyNumberFormat="1" applyFont="1" applyFill="1" applyAlignment="1">
      <alignment horizontal="center" vertical="center"/>
    </xf>
    <xf numFmtId="4" fontId="55" fillId="0" borderId="0" xfId="0" applyNumberFormat="1" applyFont="1" applyFill="1" applyAlignment="1">
      <alignment horizontal="center" vertical="center"/>
    </xf>
    <xf numFmtId="4" fontId="3" fillId="0" borderId="0" xfId="0" applyNumberFormat="1" applyFont="1" applyFill="1" applyBorder="1" applyAlignment="1">
      <alignment horizontal="center" vertical="center" wrapText="1"/>
    </xf>
    <xf numFmtId="211" fontId="55" fillId="0" borderId="0" xfId="0" applyNumberFormat="1" applyFont="1" applyFill="1" applyAlignment="1">
      <alignment horizontal="center" vertical="center"/>
    </xf>
    <xf numFmtId="9" fontId="3" fillId="0" borderId="10" xfId="82" applyFont="1" applyFill="1" applyBorder="1" applyAlignment="1">
      <alignment horizontal="center" vertical="center" wrapText="1"/>
    </xf>
    <xf numFmtId="9" fontId="3" fillId="0" borderId="10" xfId="82" applyFont="1" applyFill="1" applyBorder="1" applyAlignment="1" applyProtection="1">
      <alignment horizontal="center" vertical="center" wrapText="1"/>
      <protection/>
    </xf>
    <xf numFmtId="9" fontId="55" fillId="0" borderId="10" xfId="82" applyFont="1" applyFill="1" applyBorder="1" applyAlignment="1" applyProtection="1">
      <alignment horizontal="center" vertical="center" wrapText="1"/>
      <protection locked="0"/>
    </xf>
    <xf numFmtId="9" fontId="56" fillId="0" borderId="10" xfId="82" applyFont="1" applyBorder="1" applyAlignment="1">
      <alignment horizontal="center" vertical="center" wrapText="1"/>
    </xf>
    <xf numFmtId="9" fontId="55" fillId="0" borderId="10" xfId="82" applyFont="1" applyFill="1" applyBorder="1" applyAlignment="1">
      <alignment horizontal="center" vertical="center" wrapText="1"/>
    </xf>
    <xf numFmtId="9" fontId="55" fillId="0" borderId="10" xfId="82" applyFont="1" applyFill="1" applyBorder="1" applyAlignment="1">
      <alignment/>
    </xf>
    <xf numFmtId="9" fontId="55" fillId="0" borderId="0" xfId="82" applyFont="1" applyFill="1" applyAlignment="1">
      <alignment/>
    </xf>
    <xf numFmtId="4" fontId="55"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8" fillId="37" borderId="10" xfId="0" applyNumberFormat="1" applyFont="1" applyFill="1" applyBorder="1" applyAlignment="1">
      <alignment horizontal="center" vertical="center" wrapText="1"/>
    </xf>
    <xf numFmtId="4" fontId="61" fillId="37" borderId="10" xfId="0" applyNumberFormat="1" applyFont="1" applyFill="1" applyBorder="1" applyAlignment="1">
      <alignment horizontal="center" vertical="center"/>
    </xf>
    <xf numFmtId="4" fontId="58" fillId="37" borderId="10" xfId="0" applyNumberFormat="1" applyFont="1" applyFill="1" applyBorder="1" applyAlignment="1">
      <alignment horizontal="center" vertical="center"/>
    </xf>
    <xf numFmtId="0" fontId="55" fillId="0" borderId="10" xfId="0" applyFont="1" applyFill="1" applyBorder="1" applyAlignment="1">
      <alignment vertical="center"/>
    </xf>
    <xf numFmtId="179" fontId="55" fillId="0" borderId="10" xfId="0" applyNumberFormat="1" applyFont="1" applyFill="1" applyBorder="1" applyAlignment="1">
      <alignment horizontal="center" vertical="center"/>
    </xf>
    <xf numFmtId="4" fontId="55" fillId="38" borderId="10" xfId="0" applyNumberFormat="1" applyFont="1" applyFill="1" applyBorder="1" applyAlignment="1">
      <alignment horizontal="center" vertical="center" wrapText="1"/>
    </xf>
    <xf numFmtId="4" fontId="3" fillId="38" borderId="10" xfId="0" applyNumberFormat="1" applyFont="1" applyFill="1" applyBorder="1" applyAlignment="1">
      <alignment horizontal="center" vertical="center" wrapText="1"/>
    </xf>
    <xf numFmtId="215" fontId="55" fillId="0" borderId="10" xfId="0" applyNumberFormat="1" applyFont="1" applyFill="1" applyBorder="1" applyAlignment="1">
      <alignment horizontal="center" vertical="center" wrapText="1"/>
    </xf>
    <xf numFmtId="4" fontId="55" fillId="39" borderId="10" xfId="0" applyNumberFormat="1"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20" fontId="55" fillId="34" borderId="10" xfId="0" applyNumberFormat="1" applyFont="1" applyFill="1" applyBorder="1" applyAlignment="1">
      <alignment horizontal="center" vertical="center"/>
    </xf>
    <xf numFmtId="0" fontId="55" fillId="0" borderId="11" xfId="0" applyFont="1" applyBorder="1" applyAlignment="1">
      <alignment vertical="center"/>
    </xf>
    <xf numFmtId="0" fontId="55" fillId="0" borderId="17" xfId="0" applyFont="1" applyBorder="1" applyAlignment="1">
      <alignment vertical="center"/>
    </xf>
    <xf numFmtId="0" fontId="55" fillId="0" borderId="14" xfId="0" applyFont="1" applyBorder="1" applyAlignment="1">
      <alignment vertical="center"/>
    </xf>
    <xf numFmtId="178" fontId="55" fillId="0" borderId="10" xfId="0" applyNumberFormat="1" applyFont="1" applyBorder="1" applyAlignment="1">
      <alignment horizontal="center" vertical="center"/>
    </xf>
    <xf numFmtId="178" fontId="55" fillId="0" borderId="10" xfId="0" applyNumberFormat="1" applyFont="1" applyBorder="1" applyAlignment="1">
      <alignment horizontal="center" vertical="center" wrapText="1"/>
    </xf>
    <xf numFmtId="20" fontId="55" fillId="0" borderId="10" xfId="0" applyNumberFormat="1" applyFont="1" applyBorder="1" applyAlignment="1">
      <alignment horizontal="center" vertical="center"/>
    </xf>
    <xf numFmtId="20" fontId="3" fillId="0" borderId="10" xfId="0" applyNumberFormat="1" applyFont="1" applyFill="1" applyBorder="1" applyAlignment="1">
      <alignment horizontal="center" vertical="center"/>
    </xf>
    <xf numFmtId="0" fontId="4" fillId="2" borderId="10" xfId="0" applyFont="1" applyFill="1" applyBorder="1" applyAlignment="1">
      <alignment vertical="center" wrapText="1"/>
    </xf>
    <xf numFmtId="0" fontId="3" fillId="0" borderId="10" xfId="0" applyFont="1" applyBorder="1" applyAlignment="1" applyProtection="1">
      <alignment horizontal="center" vertical="center" wrapText="1"/>
      <protection locked="0"/>
    </xf>
    <xf numFmtId="3"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Border="1" applyAlignment="1" quotePrefix="1">
      <alignment horizontal="center" vertical="center" wrapText="1"/>
    </xf>
    <xf numFmtId="0" fontId="55" fillId="0" borderId="10" xfId="0" applyFont="1" applyBorder="1" applyAlignment="1" applyProtection="1">
      <alignment horizontal="center" vertical="center" wrapText="1"/>
      <protection locked="0"/>
    </xf>
    <xf numFmtId="2" fontId="3" fillId="0" borderId="10" xfId="0" applyNumberFormat="1" applyFont="1" applyBorder="1" applyAlignment="1">
      <alignment horizontal="center" vertical="center" wrapText="1"/>
    </xf>
    <xf numFmtId="0" fontId="55" fillId="0" borderId="10" xfId="0" applyFont="1" applyBorder="1" applyAlignment="1" applyProtection="1" quotePrefix="1">
      <alignment horizontal="center" vertical="center" wrapText="1"/>
      <protection locked="0"/>
    </xf>
    <xf numFmtId="4" fontId="5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20" fontId="55" fillId="0" borderId="10"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55" fillId="0" borderId="15" xfId="0" applyFont="1" applyBorder="1" applyAlignment="1">
      <alignment horizontal="center" vertical="center" wrapText="1"/>
    </xf>
    <xf numFmtId="0" fontId="56" fillId="0" borderId="15" xfId="0" applyFont="1" applyBorder="1" applyAlignment="1">
      <alignment horizontal="center" vertical="center" wrapText="1"/>
    </xf>
    <xf numFmtId="0" fontId="55" fillId="0" borderId="15" xfId="0" applyFont="1" applyBorder="1" applyAlignment="1" applyProtection="1">
      <alignment horizontal="center" vertical="center" wrapText="1"/>
      <protection locked="0"/>
    </xf>
    <xf numFmtId="3" fontId="3" fillId="0" borderId="15"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0" fontId="3" fillId="0" borderId="15" xfId="0" applyFont="1" applyBorder="1" applyAlignment="1" quotePrefix="1">
      <alignment horizontal="center" vertical="center" wrapText="1"/>
    </xf>
    <xf numFmtId="49" fontId="55" fillId="0" borderId="10"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179" fontId="55" fillId="0" borderId="10" xfId="0" applyNumberFormat="1" applyFont="1" applyBorder="1" applyAlignment="1">
      <alignment horizontal="center" vertical="center" wrapText="1"/>
    </xf>
    <xf numFmtId="0" fontId="55" fillId="0" borderId="15" xfId="0" applyFont="1" applyBorder="1" applyAlignment="1">
      <alignment horizontal="center" vertical="center"/>
    </xf>
    <xf numFmtId="49" fontId="3" fillId="0" borderId="10" xfId="0" applyNumberFormat="1" applyFont="1" applyBorder="1" applyAlignment="1">
      <alignment horizontal="center" vertical="center" wrapText="1"/>
    </xf>
    <xf numFmtId="14" fontId="55" fillId="0" borderId="10" xfId="0" applyNumberFormat="1" applyFont="1" applyBorder="1" applyAlignment="1">
      <alignment horizontal="center" vertical="center" wrapText="1"/>
    </xf>
    <xf numFmtId="4" fontId="3" fillId="39" borderId="11"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2" fontId="55" fillId="0" borderId="14" xfId="0" applyNumberFormat="1" applyFont="1" applyBorder="1" applyAlignment="1">
      <alignment horizontal="center" vertical="center" wrapText="1"/>
    </xf>
    <xf numFmtId="14" fontId="56" fillId="0" borderId="10" xfId="0" applyNumberFormat="1" applyFont="1" applyBorder="1" applyAlignment="1">
      <alignment horizontal="center" vertical="center"/>
    </xf>
    <xf numFmtId="0" fontId="55" fillId="0" borderId="13" xfId="0" applyFont="1" applyBorder="1" applyAlignment="1">
      <alignment horizontal="center" vertical="center"/>
    </xf>
    <xf numFmtId="0" fontId="2" fillId="0" borderId="10" xfId="70" applyBorder="1" applyAlignment="1">
      <alignment horizontal="center" vertical="center" wrapText="1"/>
      <protection/>
    </xf>
    <xf numFmtId="0" fontId="55" fillId="0" borderId="10" xfId="0" applyFont="1" applyBorder="1" applyAlignment="1" applyProtection="1">
      <alignment horizontal="center" vertical="top" wrapText="1"/>
      <protection locked="0"/>
    </xf>
    <xf numFmtId="14" fontId="3" fillId="34" borderId="10" xfId="0" applyNumberFormat="1" applyFont="1" applyFill="1" applyBorder="1" applyAlignment="1">
      <alignment horizontal="center" vertical="center"/>
    </xf>
    <xf numFmtId="14" fontId="62" fillId="0" borderId="10" xfId="0" applyNumberFormat="1" applyFont="1" applyBorder="1" applyAlignment="1">
      <alignment horizontal="center" vertical="center"/>
    </xf>
    <xf numFmtId="20" fontId="62" fillId="0" borderId="10" xfId="0" applyNumberFormat="1" applyFont="1" applyBorder="1" applyAlignment="1">
      <alignment horizontal="center" vertical="center" wrapText="1"/>
    </xf>
    <xf numFmtId="0" fontId="55" fillId="0" borderId="10" xfId="0" applyFont="1" applyBorder="1" applyAlignment="1" quotePrefix="1">
      <alignment horizontal="center" vertical="center"/>
    </xf>
    <xf numFmtId="14" fontId="55" fillId="40" borderId="10" xfId="0" applyNumberFormat="1" applyFont="1" applyFill="1" applyBorder="1" applyAlignment="1">
      <alignment horizontal="center" vertical="center"/>
    </xf>
    <xf numFmtId="0" fontId="57" fillId="0" borderId="10" xfId="0" applyFont="1" applyBorder="1" applyAlignment="1">
      <alignment/>
    </xf>
    <xf numFmtId="179" fontId="55" fillId="37" borderId="10" xfId="0" applyNumberFormat="1" applyFont="1" applyFill="1" applyBorder="1" applyAlignment="1">
      <alignment horizontal="center" vertical="center" wrapText="1"/>
    </xf>
    <xf numFmtId="0" fontId="55" fillId="0" borderId="10" xfId="0" applyFont="1" applyBorder="1" applyAlignment="1">
      <alignment vertical="center" wrapText="1"/>
    </xf>
    <xf numFmtId="22" fontId="55" fillId="0" borderId="10" xfId="0" applyNumberFormat="1" applyFont="1" applyBorder="1" applyAlignment="1">
      <alignment horizontal="center" vertical="center" wrapText="1"/>
    </xf>
    <xf numFmtId="0" fontId="55" fillId="0" borderId="10" xfId="0" applyFont="1" applyBorder="1" applyAlignment="1" quotePrefix="1">
      <alignment horizontal="center" vertical="center" wrapText="1"/>
    </xf>
    <xf numFmtId="19" fontId="55" fillId="0" borderId="10" xfId="0" applyNumberFormat="1" applyFont="1" applyBorder="1" applyAlignment="1">
      <alignment horizontal="center" vertical="center" wrapText="1"/>
    </xf>
    <xf numFmtId="0" fontId="55" fillId="0" borderId="15" xfId="0" applyFont="1" applyBorder="1" applyAlignment="1">
      <alignment horizontal="center" vertical="center"/>
    </xf>
    <xf numFmtId="0" fontId="62" fillId="0" borderId="10" xfId="0" applyFont="1" applyBorder="1" applyAlignment="1">
      <alignment vertical="center"/>
    </xf>
    <xf numFmtId="0" fontId="3" fillId="0" borderId="10" xfId="0" applyFont="1" applyBorder="1" applyAlignment="1">
      <alignment vertical="center" wrapText="1"/>
    </xf>
    <xf numFmtId="0" fontId="56" fillId="0" borderId="10" xfId="0" applyFont="1" applyBorder="1" applyAlignment="1">
      <alignment vertical="center" wrapText="1"/>
    </xf>
    <xf numFmtId="0" fontId="55" fillId="0" borderId="10" xfId="0" applyFont="1" applyBorder="1" applyAlignment="1" applyProtection="1">
      <alignment vertical="center" wrapText="1"/>
      <protection locked="0"/>
    </xf>
    <xf numFmtId="3" fontId="3" fillId="0" borderId="10" xfId="0" applyNumberFormat="1" applyFont="1" applyBorder="1" applyAlignment="1">
      <alignment vertical="center" wrapText="1"/>
    </xf>
    <xf numFmtId="14" fontId="3" fillId="0" borderId="10" xfId="0" applyNumberFormat="1" applyFont="1" applyBorder="1" applyAlignment="1">
      <alignment vertical="center" wrapText="1"/>
    </xf>
    <xf numFmtId="2" fontId="3" fillId="0" borderId="10" xfId="0" applyNumberFormat="1" applyFont="1" applyBorder="1" applyAlignment="1">
      <alignment vertical="center" wrapText="1"/>
    </xf>
    <xf numFmtId="14" fontId="55" fillId="0" borderId="10" xfId="0" applyNumberFormat="1" applyFont="1" applyFill="1" applyBorder="1" applyAlignment="1" quotePrefix="1">
      <alignment horizontal="center" vertical="center"/>
    </xf>
    <xf numFmtId="0" fontId="55" fillId="0" borderId="10" xfId="0" applyFont="1" applyFill="1" applyBorder="1" applyAlignment="1" quotePrefix="1">
      <alignment horizontal="center" vertical="center"/>
    </xf>
    <xf numFmtId="0" fontId="55" fillId="0" borderId="15" xfId="0" applyFont="1" applyBorder="1" applyAlignment="1">
      <alignment vertical="center"/>
    </xf>
    <xf numFmtId="0" fontId="3" fillId="0" borderId="10" xfId="0" applyFont="1" applyBorder="1" applyAlignment="1" applyProtection="1">
      <alignment vertical="center" wrapText="1"/>
      <protection locked="0"/>
    </xf>
    <xf numFmtId="4" fontId="55" fillId="37" borderId="10" xfId="0" applyNumberFormat="1" applyFont="1" applyFill="1" applyBorder="1" applyAlignment="1">
      <alignment horizontal="center" vertical="center"/>
    </xf>
    <xf numFmtId="0" fontId="3" fillId="0" borderId="10" xfId="0" applyFont="1" applyBorder="1" applyAlignment="1" quotePrefix="1">
      <alignment vertical="center" wrapText="1"/>
    </xf>
    <xf numFmtId="0" fontId="55" fillId="0" borderId="15" xfId="0" applyFont="1" applyBorder="1" applyAlignment="1">
      <alignment horizontal="center" vertical="center"/>
    </xf>
    <xf numFmtId="0" fontId="55" fillId="0" borderId="18" xfId="0" applyFont="1" applyBorder="1" applyAlignment="1">
      <alignment vertical="center"/>
    </xf>
    <xf numFmtId="2" fontId="55" fillId="0" borderId="10" xfId="0" applyNumberFormat="1" applyFont="1" applyBorder="1" applyAlignment="1">
      <alignment horizontal="center" vertical="center"/>
    </xf>
    <xf numFmtId="0" fontId="57" fillId="0" borderId="10" xfId="0" applyFont="1" applyBorder="1" applyAlignment="1">
      <alignment horizontal="center" vertical="center"/>
    </xf>
    <xf numFmtId="179" fontId="55" fillId="0" borderId="10" xfId="0" applyNumberFormat="1" applyFont="1" applyBorder="1" applyAlignment="1">
      <alignment vertical="center"/>
    </xf>
    <xf numFmtId="179" fontId="57" fillId="0" borderId="10" xfId="0" applyNumberFormat="1" applyFont="1" applyBorder="1" applyAlignment="1">
      <alignment/>
    </xf>
    <xf numFmtId="179" fontId="55" fillId="0" borderId="10" xfId="0" applyNumberFormat="1" applyFont="1" applyBorder="1" applyAlignment="1">
      <alignment horizontal="center" vertical="center"/>
    </xf>
    <xf numFmtId="179" fontId="55" fillId="0" borderId="10" xfId="0" applyNumberFormat="1" applyFont="1" applyFill="1" applyBorder="1" applyAlignment="1">
      <alignment horizontal="center" vertical="center" wrapText="1"/>
    </xf>
    <xf numFmtId="0" fontId="55" fillId="35" borderId="0" xfId="0" applyFont="1" applyFill="1" applyAlignment="1">
      <alignment/>
    </xf>
    <xf numFmtId="0" fontId="46" fillId="0" borderId="15" xfId="0" applyFont="1" applyBorder="1" applyAlignment="1">
      <alignment horizontal="center" vertical="center"/>
    </xf>
    <xf numFmtId="4" fontId="55" fillId="0" borderId="10" xfId="0" applyNumberFormat="1" applyFont="1" applyFill="1" applyBorder="1" applyAlignment="1">
      <alignment horizontal="center" vertical="center"/>
    </xf>
    <xf numFmtId="14" fontId="55" fillId="34" borderId="10" xfId="0" applyNumberFormat="1" applyFont="1" applyFill="1" applyBorder="1" applyAlignment="1">
      <alignment horizontal="center" vertical="center" wrapText="1"/>
    </xf>
    <xf numFmtId="4" fontId="56" fillId="0" borderId="10" xfId="0" applyNumberFormat="1" applyFont="1" applyBorder="1" applyAlignment="1">
      <alignment horizontal="center" vertical="center"/>
    </xf>
    <xf numFmtId="4" fontId="55" fillId="0" borderId="10" xfId="0" applyNumberFormat="1" applyFont="1" applyBorder="1" applyAlignment="1">
      <alignment horizontal="center"/>
    </xf>
    <xf numFmtId="0" fontId="56" fillId="0" borderId="10" xfId="0" applyFont="1" applyBorder="1" applyAlignment="1">
      <alignment horizontal="center" vertical="center"/>
    </xf>
    <xf numFmtId="4" fontId="60" fillId="0" borderId="0" xfId="0" applyNumberFormat="1" applyFont="1" applyAlignment="1">
      <alignment/>
    </xf>
    <xf numFmtId="2" fontId="60" fillId="0" borderId="0" xfId="0" applyNumberFormat="1" applyFont="1" applyAlignment="1">
      <alignment/>
    </xf>
    <xf numFmtId="0" fontId="4" fillId="35" borderId="19"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0" fontId="55" fillId="0" borderId="15" xfId="0" applyFont="1" applyBorder="1" applyAlignment="1">
      <alignment horizontal="center" vertical="center"/>
    </xf>
    <xf numFmtId="0" fontId="55" fillId="0" borderId="18" xfId="0" applyFont="1" applyBorder="1" applyAlignment="1">
      <alignment horizontal="center" vertical="center"/>
    </xf>
    <xf numFmtId="0" fontId="63" fillId="0" borderId="10" xfId="0" applyFont="1" applyBorder="1" applyAlignment="1">
      <alignment horizontal="center" vertical="center"/>
    </xf>
    <xf numFmtId="0" fontId="59" fillId="36" borderId="10" xfId="0" applyFont="1" applyFill="1" applyBorder="1" applyAlignment="1">
      <alignment horizontal="center" vertical="center"/>
    </xf>
    <xf numFmtId="0" fontId="59" fillId="36" borderId="10" xfId="0" applyFont="1" applyFill="1" applyBorder="1" applyAlignment="1">
      <alignment horizontal="center" vertical="center" wrapText="1"/>
    </xf>
    <xf numFmtId="0" fontId="64" fillId="36" borderId="10" xfId="0" applyFont="1" applyFill="1" applyBorder="1" applyAlignment="1">
      <alignment horizontal="center" vertic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2 2 2" xfId="54"/>
    <cellStyle name="Millares 2 3" xfId="55"/>
    <cellStyle name="Millares 2 3 2" xfId="56"/>
    <cellStyle name="Millares 3" xfId="57"/>
    <cellStyle name="Millares 3 2" xfId="58"/>
    <cellStyle name="Millares 4" xfId="59"/>
    <cellStyle name="Millares 4 2" xfId="60"/>
    <cellStyle name="Currency" xfId="61"/>
    <cellStyle name="Currency [0]" xfId="62"/>
    <cellStyle name="Neutral" xfId="63"/>
    <cellStyle name="Normal 2" xfId="64"/>
    <cellStyle name="Normal 2 2" xfId="65"/>
    <cellStyle name="Normal 2 2 2" xfId="66"/>
    <cellStyle name="Normal 2 2 3" xfId="67"/>
    <cellStyle name="Normal 2 3" xfId="68"/>
    <cellStyle name="Normal 2 4" xfId="69"/>
    <cellStyle name="Normal 3" xfId="70"/>
    <cellStyle name="Normal 3 2" xfId="71"/>
    <cellStyle name="Normal 4" xfId="72"/>
    <cellStyle name="Normal 4 2" xfId="73"/>
    <cellStyle name="Normal 4 3" xfId="74"/>
    <cellStyle name="Normal 5" xfId="75"/>
    <cellStyle name="Normal 5 2" xfId="76"/>
    <cellStyle name="Normal 6" xfId="77"/>
    <cellStyle name="Normal 7" xfId="78"/>
    <cellStyle name="Normal 7 2" xfId="79"/>
    <cellStyle name="Normal 8" xfId="80"/>
    <cellStyle name="Notas" xfId="81"/>
    <cellStyle name="Percent" xfId="82"/>
    <cellStyle name="Porcentaje 2" xfId="83"/>
    <cellStyle name="Salida" xfId="84"/>
    <cellStyle name="Texto de advertencia" xfId="85"/>
    <cellStyle name="Texto explicativo" xfId="86"/>
    <cellStyle name="Título"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0391\Tasa%20Retributiva\Carga%202019\EAB\trazabilidad%20del%20muestreo%20y%20validacionCOV-C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ENIO"/>
      <sheetName val="muestras iha"/>
      <sheetName val="muestras CAR"/>
      <sheetName val="FEBRERO"/>
      <sheetName val="MARZO"/>
      <sheetName val="ABRIL"/>
      <sheetName val="MAYO"/>
      <sheetName val="JUNIO"/>
      <sheetName val="JULIO"/>
      <sheetName val="AGOSTO"/>
      <sheetName val="RADICACION HASTA AGOSTO"/>
      <sheetName val="SEPTIEMBRE"/>
      <sheetName val="OCTUBRE"/>
      <sheetName val="NOVIEMBRE"/>
      <sheetName val="RADICACIÓN SEPTIEMBRE"/>
      <sheetName val="RADICACION OCTUBRE"/>
      <sheetName val="RADICACION NOVIEMBRE"/>
      <sheetName val="Datos"/>
      <sheetName val="CAMPO"/>
    </sheetNames>
    <sheetDataSet>
      <sheetData sheetId="17">
        <row r="7">
          <cell r="FB7" t="str">
            <v>6:00-8:00</v>
          </cell>
        </row>
        <row r="8">
          <cell r="FB8" t="str">
            <v>8:00-10:00</v>
          </cell>
        </row>
        <row r="9">
          <cell r="FB9" t="str">
            <v>10:00-12:00</v>
          </cell>
        </row>
        <row r="10">
          <cell r="FB10" t="str">
            <v>12:00-14:00</v>
          </cell>
        </row>
        <row r="11">
          <cell r="FB11" t="str">
            <v>14:00-16:00</v>
          </cell>
        </row>
        <row r="12">
          <cell r="FB12" t="str">
            <v>16:00-18:00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60"/>
  <sheetViews>
    <sheetView tabSelected="1" zoomScale="80" zoomScaleNormal="80" zoomScalePageLayoutView="0" workbookViewId="0" topLeftCell="A1">
      <pane xSplit="5" ySplit="2" topLeftCell="I3" activePane="bottomRight" state="frozen"/>
      <selection pane="topLeft" activeCell="A1" sqref="A1"/>
      <selection pane="topRight" activeCell="F1" sqref="F1"/>
      <selection pane="bottomLeft" activeCell="A3" sqref="A3"/>
      <selection pane="bottomRight" activeCell="A60" sqref="A60:AL60"/>
    </sheetView>
  </sheetViews>
  <sheetFormatPr defaultColWidth="11.421875" defaultRowHeight="15"/>
  <cols>
    <col min="1" max="1" width="5.8515625" style="32" customWidth="1"/>
    <col min="2" max="2" width="15.57421875" style="32" customWidth="1"/>
    <col min="3" max="3" width="18.140625" style="32" customWidth="1"/>
    <col min="4" max="4" width="23.7109375" style="32" customWidth="1"/>
    <col min="5" max="5" width="21.8515625" style="32" bestFit="1" customWidth="1"/>
    <col min="6" max="6" width="34.421875" style="32" customWidth="1"/>
    <col min="7" max="7" width="13.421875" style="32" customWidth="1"/>
    <col min="8" max="8" width="13.28125" style="32" customWidth="1"/>
    <col min="9" max="9" width="19.7109375" style="32" customWidth="1"/>
    <col min="10" max="10" width="17.421875" style="32" customWidth="1"/>
    <col min="11" max="11" width="15.00390625" style="32" customWidth="1"/>
    <col min="12" max="12" width="11.140625" style="32" customWidth="1"/>
    <col min="13" max="13" width="21.00390625" style="32" customWidth="1"/>
    <col min="14" max="14" width="6.7109375" style="32" customWidth="1"/>
    <col min="15" max="15" width="9.57421875" style="32" customWidth="1"/>
    <col min="16" max="16" width="9.421875" style="32" bestFit="1" customWidth="1"/>
    <col min="17" max="17" width="11.421875" style="32" customWidth="1"/>
    <col min="18" max="18" width="15.57421875" style="32" customWidth="1"/>
    <col min="19" max="19" width="8.421875" style="32" customWidth="1"/>
    <col min="20" max="20" width="20.140625" style="32" customWidth="1"/>
    <col min="21" max="21" width="13.00390625" style="32" customWidth="1"/>
    <col min="22" max="22" width="13.28125" style="32" customWidth="1"/>
    <col min="23" max="23" width="9.57421875" style="32" customWidth="1"/>
    <col min="24" max="24" width="17.28125" style="32" customWidth="1"/>
    <col min="25" max="25" width="20.7109375" style="32" customWidth="1"/>
    <col min="26" max="26" width="61.28125" style="32" customWidth="1"/>
    <col min="27" max="27" width="15.7109375" style="32" customWidth="1"/>
    <col min="28" max="28" width="14.7109375" style="32" customWidth="1"/>
    <col min="29" max="38" width="11.421875" style="32" customWidth="1"/>
    <col min="39" max="39" width="22.140625" style="32" customWidth="1"/>
    <col min="40" max="40" width="24.7109375" style="32" customWidth="1"/>
    <col min="41" max="43" width="11.421875" style="32" customWidth="1"/>
    <col min="44" max="16384" width="11.421875" style="32" customWidth="1"/>
  </cols>
  <sheetData>
    <row r="1" spans="1:41" s="6" customFormat="1" ht="12.75" customHeight="1">
      <c r="A1" s="217" t="s">
        <v>0</v>
      </c>
      <c r="B1" s="217" t="s">
        <v>2307</v>
      </c>
      <c r="C1" s="217" t="s">
        <v>84</v>
      </c>
      <c r="D1" s="217" t="s">
        <v>85</v>
      </c>
      <c r="E1" s="217" t="s">
        <v>2416</v>
      </c>
      <c r="F1" s="217" t="s">
        <v>87</v>
      </c>
      <c r="G1" s="217" t="s">
        <v>2417</v>
      </c>
      <c r="H1" s="217" t="s">
        <v>2418</v>
      </c>
      <c r="I1" s="217" t="s">
        <v>2419</v>
      </c>
      <c r="J1" s="223" t="s">
        <v>2420</v>
      </c>
      <c r="K1" s="217" t="s">
        <v>2421</v>
      </c>
      <c r="L1" s="217" t="s">
        <v>2422</v>
      </c>
      <c r="M1" s="217" t="s">
        <v>2423</v>
      </c>
      <c r="N1" s="217" t="s">
        <v>2424</v>
      </c>
      <c r="O1" s="217"/>
      <c r="P1" s="217"/>
      <c r="Q1" s="217"/>
      <c r="R1" s="217" t="s">
        <v>2429</v>
      </c>
      <c r="S1" s="217" t="s">
        <v>2430</v>
      </c>
      <c r="T1" s="217" t="s">
        <v>2431</v>
      </c>
      <c r="U1" s="218" t="s">
        <v>1</v>
      </c>
      <c r="V1" s="219"/>
      <c r="W1" s="217" t="s">
        <v>2432</v>
      </c>
      <c r="X1" s="217" t="s">
        <v>2433</v>
      </c>
      <c r="Y1" s="217"/>
      <c r="Z1" s="217" t="s">
        <v>2401</v>
      </c>
      <c r="AA1" s="217" t="s">
        <v>2402</v>
      </c>
      <c r="AB1" s="217" t="s">
        <v>2403</v>
      </c>
      <c r="AC1" s="217" t="s">
        <v>2386</v>
      </c>
      <c r="AD1" s="217" t="s">
        <v>2387</v>
      </c>
      <c r="AE1" s="217" t="s">
        <v>2388</v>
      </c>
      <c r="AF1" s="217" t="s">
        <v>2389</v>
      </c>
      <c r="AG1" s="217" t="s">
        <v>2390</v>
      </c>
      <c r="AH1" s="217" t="s">
        <v>2391</v>
      </c>
      <c r="AI1" s="217" t="s">
        <v>2392</v>
      </c>
      <c r="AJ1" s="217" t="s">
        <v>2393</v>
      </c>
      <c r="AK1" s="221" t="s">
        <v>2394</v>
      </c>
      <c r="AL1" s="221" t="s">
        <v>2395</v>
      </c>
      <c r="AM1" s="220" t="s">
        <v>4168</v>
      </c>
      <c r="AN1" s="220" t="s">
        <v>4169</v>
      </c>
      <c r="AO1" s="217" t="s">
        <v>2398</v>
      </c>
    </row>
    <row r="2" spans="1:41" s="6" customFormat="1" ht="38.25">
      <c r="A2" s="217"/>
      <c r="B2" s="217"/>
      <c r="C2" s="217"/>
      <c r="D2" s="217"/>
      <c r="E2" s="217"/>
      <c r="F2" s="217"/>
      <c r="G2" s="217"/>
      <c r="H2" s="217"/>
      <c r="I2" s="217"/>
      <c r="J2" s="223"/>
      <c r="K2" s="217"/>
      <c r="L2" s="217"/>
      <c r="M2" s="217"/>
      <c r="N2" s="40" t="s">
        <v>2425</v>
      </c>
      <c r="O2" s="40" t="s">
        <v>2426</v>
      </c>
      <c r="P2" s="40" t="s">
        <v>2427</v>
      </c>
      <c r="Q2" s="40" t="s">
        <v>2428</v>
      </c>
      <c r="R2" s="217"/>
      <c r="S2" s="217"/>
      <c r="T2" s="217"/>
      <c r="U2" s="40" t="s">
        <v>2399</v>
      </c>
      <c r="V2" s="40" t="s">
        <v>2400</v>
      </c>
      <c r="W2" s="217"/>
      <c r="X2" s="40" t="s">
        <v>2434</v>
      </c>
      <c r="Y2" s="40" t="s">
        <v>2435</v>
      </c>
      <c r="Z2" s="217"/>
      <c r="AA2" s="217"/>
      <c r="AB2" s="217"/>
      <c r="AC2" s="217"/>
      <c r="AD2" s="217"/>
      <c r="AE2" s="217"/>
      <c r="AF2" s="217"/>
      <c r="AG2" s="217"/>
      <c r="AH2" s="217"/>
      <c r="AI2" s="217"/>
      <c r="AJ2" s="217"/>
      <c r="AK2" s="222"/>
      <c r="AL2" s="222"/>
      <c r="AM2" s="220"/>
      <c r="AN2" s="220"/>
      <c r="AO2" s="217"/>
    </row>
    <row r="3" spans="1:44" s="6" customFormat="1" ht="25.5">
      <c r="A3" s="41">
        <v>1</v>
      </c>
      <c r="B3" s="19" t="s">
        <v>3</v>
      </c>
      <c r="C3" s="19" t="s">
        <v>3</v>
      </c>
      <c r="D3" s="19">
        <v>1</v>
      </c>
      <c r="E3" s="19" t="s">
        <v>89</v>
      </c>
      <c r="F3" s="19" t="s">
        <v>90</v>
      </c>
      <c r="G3" s="2" t="s">
        <v>2437</v>
      </c>
      <c r="H3" s="1" t="s">
        <v>4166</v>
      </c>
      <c r="I3" s="19" t="s">
        <v>4127</v>
      </c>
      <c r="J3" s="58">
        <v>29104391</v>
      </c>
      <c r="K3" s="19" t="s">
        <v>2438</v>
      </c>
      <c r="L3" s="19">
        <v>3447000</v>
      </c>
      <c r="M3" s="19" t="s">
        <v>3735</v>
      </c>
      <c r="N3" s="19" t="s">
        <v>2439</v>
      </c>
      <c r="O3" s="19">
        <v>3428</v>
      </c>
      <c r="P3" s="59">
        <v>43073</v>
      </c>
      <c r="Q3" s="59">
        <v>46724</v>
      </c>
      <c r="R3" s="19" t="s">
        <v>2440</v>
      </c>
      <c r="S3" s="19" t="s">
        <v>2441</v>
      </c>
      <c r="T3" s="29" t="s">
        <v>2443</v>
      </c>
      <c r="U3" s="42" t="s">
        <v>97</v>
      </c>
      <c r="V3" s="42" t="s">
        <v>88</v>
      </c>
      <c r="W3" s="2">
        <v>2655</v>
      </c>
      <c r="X3" s="60">
        <v>114091.41</v>
      </c>
      <c r="Y3" s="60">
        <v>106206.87</v>
      </c>
      <c r="Z3" s="2" t="s">
        <v>3741</v>
      </c>
      <c r="AA3" s="47"/>
      <c r="AB3" s="2"/>
      <c r="AC3" s="2"/>
      <c r="AD3" s="2"/>
      <c r="AE3" s="2"/>
      <c r="AF3" s="2"/>
      <c r="AG3" s="43"/>
      <c r="AH3" s="43"/>
      <c r="AI3" s="2"/>
      <c r="AJ3" s="1"/>
      <c r="AK3" s="1"/>
      <c r="AL3" s="1"/>
      <c r="AM3" s="44">
        <f aca="true" t="shared" si="0" ref="AM3:AM13">AG3*AI3*AJ3*AK3</f>
        <v>0</v>
      </c>
      <c r="AN3" s="45">
        <f aca="true" t="shared" si="1" ref="AN3:AN13">AH3*AI3*AJ3*AL3</f>
        <v>0</v>
      </c>
      <c r="AO3" s="2" t="s">
        <v>2405</v>
      </c>
      <c r="AQ3" s="98"/>
      <c r="AR3" s="98"/>
    </row>
    <row r="4" spans="1:44" s="6" customFormat="1" ht="25.5">
      <c r="A4" s="10">
        <v>2</v>
      </c>
      <c r="B4" s="1" t="s">
        <v>3</v>
      </c>
      <c r="C4" s="1" t="s">
        <v>3</v>
      </c>
      <c r="D4" s="1">
        <v>1</v>
      </c>
      <c r="E4" s="1" t="s">
        <v>94</v>
      </c>
      <c r="F4" s="1" t="s">
        <v>95</v>
      </c>
      <c r="G4" s="2" t="s">
        <v>2437</v>
      </c>
      <c r="H4" s="1" t="s">
        <v>4166</v>
      </c>
      <c r="I4" s="19" t="s">
        <v>4127</v>
      </c>
      <c r="J4" s="58">
        <v>29104391</v>
      </c>
      <c r="K4" s="19" t="s">
        <v>2438</v>
      </c>
      <c r="L4" s="19">
        <v>3447000</v>
      </c>
      <c r="M4" s="19" t="s">
        <v>3735</v>
      </c>
      <c r="N4" s="19" t="s">
        <v>2439</v>
      </c>
      <c r="O4" s="19">
        <v>3428</v>
      </c>
      <c r="P4" s="59">
        <v>43073</v>
      </c>
      <c r="Q4" s="59">
        <v>46724</v>
      </c>
      <c r="R4" s="19" t="s">
        <v>2440</v>
      </c>
      <c r="S4" s="19" t="s">
        <v>2441</v>
      </c>
      <c r="T4" s="29" t="s">
        <v>2443</v>
      </c>
      <c r="U4" s="2" t="s">
        <v>98</v>
      </c>
      <c r="V4" s="2" t="s">
        <v>96</v>
      </c>
      <c r="W4" s="2">
        <v>2577</v>
      </c>
      <c r="X4" s="60">
        <v>114574.52</v>
      </c>
      <c r="Y4" s="60">
        <v>105764.71</v>
      </c>
      <c r="Z4" s="2" t="s">
        <v>3741</v>
      </c>
      <c r="AA4" s="47"/>
      <c r="AB4" s="2"/>
      <c r="AC4" s="2"/>
      <c r="AD4" s="2"/>
      <c r="AE4" s="2"/>
      <c r="AF4" s="2"/>
      <c r="AG4" s="43"/>
      <c r="AH4" s="43"/>
      <c r="AI4" s="2"/>
      <c r="AJ4" s="1"/>
      <c r="AK4" s="1"/>
      <c r="AL4" s="1"/>
      <c r="AM4" s="44">
        <f t="shared" si="0"/>
        <v>0</v>
      </c>
      <c r="AN4" s="45">
        <f t="shared" si="1"/>
        <v>0</v>
      </c>
      <c r="AO4" s="2" t="s">
        <v>2405</v>
      </c>
      <c r="AQ4" s="98"/>
      <c r="AR4" s="98"/>
    </row>
    <row r="5" spans="1:44" s="6" customFormat="1" ht="25.5">
      <c r="A5" s="10">
        <v>3</v>
      </c>
      <c r="B5" s="1" t="s">
        <v>3</v>
      </c>
      <c r="C5" s="1" t="s">
        <v>3</v>
      </c>
      <c r="D5" s="1">
        <v>1</v>
      </c>
      <c r="E5" s="1" t="s">
        <v>99</v>
      </c>
      <c r="F5" s="1" t="s">
        <v>101</v>
      </c>
      <c r="G5" s="2" t="s">
        <v>2437</v>
      </c>
      <c r="H5" s="1" t="s">
        <v>4166</v>
      </c>
      <c r="I5" s="19" t="s">
        <v>4127</v>
      </c>
      <c r="J5" s="58">
        <v>29104391</v>
      </c>
      <c r="K5" s="19" t="s">
        <v>2438</v>
      </c>
      <c r="L5" s="19">
        <v>3447000</v>
      </c>
      <c r="M5" s="19" t="s">
        <v>3735</v>
      </c>
      <c r="N5" s="19" t="s">
        <v>2439</v>
      </c>
      <c r="O5" s="19">
        <v>3428</v>
      </c>
      <c r="P5" s="59">
        <v>43073</v>
      </c>
      <c r="Q5" s="59">
        <v>46724</v>
      </c>
      <c r="R5" s="19" t="s">
        <v>2440</v>
      </c>
      <c r="S5" s="19" t="s">
        <v>2441</v>
      </c>
      <c r="T5" s="1" t="s">
        <v>2443</v>
      </c>
      <c r="U5" s="2" t="s">
        <v>104</v>
      </c>
      <c r="V5" s="2" t="s">
        <v>100</v>
      </c>
      <c r="W5" s="2">
        <v>2571</v>
      </c>
      <c r="X5" s="60">
        <v>114656.73</v>
      </c>
      <c r="Y5" s="60">
        <v>105601.58</v>
      </c>
      <c r="Z5" s="2" t="s">
        <v>3744</v>
      </c>
      <c r="AA5" s="47">
        <v>43787</v>
      </c>
      <c r="AB5" s="2" t="s">
        <v>2404</v>
      </c>
      <c r="AC5" s="2">
        <v>23</v>
      </c>
      <c r="AD5" s="2">
        <v>14</v>
      </c>
      <c r="AE5" s="49">
        <v>0.292</v>
      </c>
      <c r="AF5" s="2">
        <v>24</v>
      </c>
      <c r="AG5" s="43">
        <f>AE5*AC5*AF5*0.0036</f>
        <v>0.5802623999999998</v>
      </c>
      <c r="AH5" s="43">
        <f>AE5*AD5*AF5*0.0036</f>
        <v>0.3532032</v>
      </c>
      <c r="AI5" s="2">
        <v>30</v>
      </c>
      <c r="AJ5" s="1">
        <v>12</v>
      </c>
      <c r="AK5" s="1">
        <v>0.77</v>
      </c>
      <c r="AL5" s="1">
        <v>0.8</v>
      </c>
      <c r="AM5" s="117">
        <f t="shared" si="0"/>
        <v>160.84873727999994</v>
      </c>
      <c r="AN5" s="118">
        <f t="shared" si="1"/>
        <v>101.7225216</v>
      </c>
      <c r="AO5" s="2" t="s">
        <v>2405</v>
      </c>
      <c r="AQ5" s="98"/>
      <c r="AR5" s="98"/>
    </row>
    <row r="6" spans="1:44" s="6" customFormat="1" ht="25.5">
      <c r="A6" s="10">
        <v>4</v>
      </c>
      <c r="B6" s="1" t="s">
        <v>3</v>
      </c>
      <c r="C6" s="1" t="s">
        <v>3</v>
      </c>
      <c r="D6" s="1">
        <v>1</v>
      </c>
      <c r="E6" s="1" t="s">
        <v>102</v>
      </c>
      <c r="F6" s="1" t="s">
        <v>103</v>
      </c>
      <c r="G6" s="2" t="s">
        <v>2437</v>
      </c>
      <c r="H6" s="1" t="s">
        <v>4166</v>
      </c>
      <c r="I6" s="19" t="s">
        <v>4127</v>
      </c>
      <c r="J6" s="58">
        <v>29104391</v>
      </c>
      <c r="K6" s="19" t="s">
        <v>2438</v>
      </c>
      <c r="L6" s="19">
        <v>3447000</v>
      </c>
      <c r="M6" s="19" t="s">
        <v>3735</v>
      </c>
      <c r="N6" s="19" t="s">
        <v>2439</v>
      </c>
      <c r="O6" s="19">
        <v>3428</v>
      </c>
      <c r="P6" s="59">
        <v>43073</v>
      </c>
      <c r="Q6" s="59">
        <v>46724</v>
      </c>
      <c r="R6" s="19" t="s">
        <v>2440</v>
      </c>
      <c r="S6" s="1" t="s">
        <v>2442</v>
      </c>
      <c r="T6" s="1" t="s">
        <v>2444</v>
      </c>
      <c r="U6" s="2" t="s">
        <v>105</v>
      </c>
      <c r="V6" s="2" t="s">
        <v>2344</v>
      </c>
      <c r="W6" s="2">
        <v>2567</v>
      </c>
      <c r="X6" s="60">
        <v>114740.28</v>
      </c>
      <c r="Y6" s="60">
        <v>105424.6</v>
      </c>
      <c r="Z6" s="2" t="s">
        <v>3741</v>
      </c>
      <c r="AA6" s="47"/>
      <c r="AB6" s="2"/>
      <c r="AC6" s="2"/>
      <c r="AD6" s="2"/>
      <c r="AE6" s="2"/>
      <c r="AF6" s="2"/>
      <c r="AG6" s="43"/>
      <c r="AH6" s="43"/>
      <c r="AI6" s="2"/>
      <c r="AJ6" s="1"/>
      <c r="AK6" s="1"/>
      <c r="AL6" s="1"/>
      <c r="AM6" s="44">
        <f t="shared" si="0"/>
        <v>0</v>
      </c>
      <c r="AN6" s="45">
        <f t="shared" si="1"/>
        <v>0</v>
      </c>
      <c r="AO6" s="2" t="s">
        <v>2405</v>
      </c>
      <c r="AQ6" s="98"/>
      <c r="AR6" s="98"/>
    </row>
    <row r="7" spans="1:44" s="6" customFormat="1" ht="51" customHeight="1">
      <c r="A7" s="10">
        <v>5</v>
      </c>
      <c r="B7" s="1" t="s">
        <v>3</v>
      </c>
      <c r="C7" s="1" t="s">
        <v>3</v>
      </c>
      <c r="D7" s="1">
        <v>1</v>
      </c>
      <c r="E7" s="1" t="s">
        <v>92</v>
      </c>
      <c r="F7" s="1" t="s">
        <v>106</v>
      </c>
      <c r="G7" s="2" t="s">
        <v>2437</v>
      </c>
      <c r="H7" s="1" t="s">
        <v>4166</v>
      </c>
      <c r="I7" s="19" t="s">
        <v>4127</v>
      </c>
      <c r="J7" s="58">
        <v>29104391</v>
      </c>
      <c r="K7" s="19" t="s">
        <v>2438</v>
      </c>
      <c r="L7" s="19">
        <v>3447000</v>
      </c>
      <c r="M7" s="19" t="s">
        <v>3735</v>
      </c>
      <c r="N7" s="19" t="s">
        <v>2439</v>
      </c>
      <c r="O7" s="19">
        <v>3428</v>
      </c>
      <c r="P7" s="59">
        <v>43073</v>
      </c>
      <c r="Q7" s="59">
        <v>46724</v>
      </c>
      <c r="R7" s="19" t="s">
        <v>2440</v>
      </c>
      <c r="S7" s="19" t="s">
        <v>2441</v>
      </c>
      <c r="T7" s="1" t="s">
        <v>2444</v>
      </c>
      <c r="U7" s="2" t="s">
        <v>108</v>
      </c>
      <c r="V7" s="2" t="s">
        <v>107</v>
      </c>
      <c r="W7" s="2">
        <v>2564</v>
      </c>
      <c r="X7" s="60">
        <v>114861.57</v>
      </c>
      <c r="Y7" s="60">
        <v>80463.22</v>
      </c>
      <c r="Z7" s="2" t="s">
        <v>3745</v>
      </c>
      <c r="AA7" s="47">
        <v>43767</v>
      </c>
      <c r="AB7" s="50">
        <v>0.4069444444444445</v>
      </c>
      <c r="AC7" s="103"/>
      <c r="AD7" s="103"/>
      <c r="AE7" s="103"/>
      <c r="AF7" s="103"/>
      <c r="AG7" s="103"/>
      <c r="AH7" s="103"/>
      <c r="AI7" s="103"/>
      <c r="AJ7" s="103"/>
      <c r="AK7" s="103"/>
      <c r="AL7" s="103"/>
      <c r="AM7" s="117">
        <f t="shared" si="0"/>
        <v>0</v>
      </c>
      <c r="AN7" s="118">
        <f t="shared" si="1"/>
        <v>0</v>
      </c>
      <c r="AO7" s="2" t="s">
        <v>2405</v>
      </c>
      <c r="AQ7" s="98"/>
      <c r="AR7" s="98"/>
    </row>
    <row r="8" spans="1:44" ht="57" customHeight="1">
      <c r="A8" s="10">
        <v>6</v>
      </c>
      <c r="B8" s="1" t="s">
        <v>3</v>
      </c>
      <c r="C8" s="1" t="s">
        <v>3</v>
      </c>
      <c r="D8" s="1">
        <v>1</v>
      </c>
      <c r="E8" s="1" t="s">
        <v>91</v>
      </c>
      <c r="F8" s="1" t="s">
        <v>109</v>
      </c>
      <c r="G8" s="2" t="s">
        <v>2437</v>
      </c>
      <c r="H8" s="1" t="s">
        <v>4166</v>
      </c>
      <c r="I8" s="19" t="s">
        <v>4127</v>
      </c>
      <c r="J8" s="58">
        <v>29104391</v>
      </c>
      <c r="K8" s="19" t="s">
        <v>2438</v>
      </c>
      <c r="L8" s="19">
        <v>3447000</v>
      </c>
      <c r="M8" s="19" t="s">
        <v>3735</v>
      </c>
      <c r="N8" s="19" t="s">
        <v>2439</v>
      </c>
      <c r="O8" s="19">
        <v>3428</v>
      </c>
      <c r="P8" s="59">
        <v>43073</v>
      </c>
      <c r="Q8" s="59">
        <v>46724</v>
      </c>
      <c r="R8" s="19" t="s">
        <v>2440</v>
      </c>
      <c r="S8" s="1" t="s">
        <v>2442</v>
      </c>
      <c r="T8" s="29" t="s">
        <v>2443</v>
      </c>
      <c r="U8" s="2" t="s">
        <v>49</v>
      </c>
      <c r="V8" s="2" t="s">
        <v>2606</v>
      </c>
      <c r="W8" s="2">
        <v>2560</v>
      </c>
      <c r="X8" s="60">
        <v>114897.87</v>
      </c>
      <c r="Y8" s="60">
        <v>105086.99</v>
      </c>
      <c r="Z8" s="2" t="s">
        <v>4128</v>
      </c>
      <c r="AA8" s="47">
        <v>43698</v>
      </c>
      <c r="AB8" s="2" t="s">
        <v>3742</v>
      </c>
      <c r="AC8" s="13">
        <v>258</v>
      </c>
      <c r="AD8" s="13">
        <v>84</v>
      </c>
      <c r="AE8" s="49">
        <v>6.48</v>
      </c>
      <c r="AF8" s="13">
        <v>24</v>
      </c>
      <c r="AG8" s="102">
        <f>AE8*AC8*AF8*0.0036</f>
        <v>144.446976</v>
      </c>
      <c r="AH8" s="102">
        <f>AE8*AD8*AF8*0.0036</f>
        <v>47.029248</v>
      </c>
      <c r="AI8" s="2">
        <v>30</v>
      </c>
      <c r="AJ8" s="1">
        <v>12</v>
      </c>
      <c r="AK8" s="1">
        <v>0.75</v>
      </c>
      <c r="AL8" s="1">
        <v>0.81</v>
      </c>
      <c r="AM8" s="117">
        <f t="shared" si="0"/>
        <v>39000.68352</v>
      </c>
      <c r="AN8" s="118">
        <f t="shared" si="1"/>
        <v>13713.7287168</v>
      </c>
      <c r="AO8" s="2" t="s">
        <v>2405</v>
      </c>
      <c r="AQ8" s="98"/>
      <c r="AR8" s="98"/>
    </row>
    <row r="9" spans="1:44" ht="64.5" customHeight="1">
      <c r="A9" s="10">
        <v>7</v>
      </c>
      <c r="B9" s="1" t="s">
        <v>3</v>
      </c>
      <c r="C9" s="1" t="s">
        <v>3</v>
      </c>
      <c r="D9" s="1">
        <v>1</v>
      </c>
      <c r="E9" s="1" t="s">
        <v>93</v>
      </c>
      <c r="F9" s="1" t="s">
        <v>114</v>
      </c>
      <c r="G9" s="2" t="s">
        <v>2437</v>
      </c>
      <c r="H9" s="1" t="s">
        <v>4166</v>
      </c>
      <c r="I9" s="19" t="s">
        <v>4127</v>
      </c>
      <c r="J9" s="58">
        <v>29104391</v>
      </c>
      <c r="K9" s="19" t="s">
        <v>2438</v>
      </c>
      <c r="L9" s="19">
        <v>3447000</v>
      </c>
      <c r="M9" s="19" t="s">
        <v>3735</v>
      </c>
      <c r="N9" s="19" t="s">
        <v>2439</v>
      </c>
      <c r="O9" s="19">
        <v>3428</v>
      </c>
      <c r="P9" s="59">
        <v>43073</v>
      </c>
      <c r="Q9" s="59">
        <v>46724</v>
      </c>
      <c r="R9" s="19" t="s">
        <v>2440</v>
      </c>
      <c r="S9" s="1" t="s">
        <v>2441</v>
      </c>
      <c r="T9" s="29" t="s">
        <v>2444</v>
      </c>
      <c r="U9" s="9" t="s">
        <v>110</v>
      </c>
      <c r="V9" s="9" t="s">
        <v>111</v>
      </c>
      <c r="W9" s="9">
        <v>2559</v>
      </c>
      <c r="X9" s="60">
        <v>114925.52</v>
      </c>
      <c r="Y9" s="60">
        <v>105050.57</v>
      </c>
      <c r="Z9" s="2" t="s">
        <v>4129</v>
      </c>
      <c r="AA9" s="47">
        <v>43698</v>
      </c>
      <c r="AB9" s="2" t="s">
        <v>3743</v>
      </c>
      <c r="AC9" s="13">
        <v>246</v>
      </c>
      <c r="AD9" s="13">
        <v>148</v>
      </c>
      <c r="AE9" s="49">
        <v>52.44</v>
      </c>
      <c r="AF9" s="13">
        <v>24</v>
      </c>
      <c r="AG9" s="102">
        <f>AE9*AC9*AF9*0.0036</f>
        <v>1114.5807360000001</v>
      </c>
      <c r="AH9" s="102">
        <f>AE9*AD9*AF9*0.0036</f>
        <v>670.560768</v>
      </c>
      <c r="AI9" s="2">
        <v>30</v>
      </c>
      <c r="AJ9" s="1">
        <v>12</v>
      </c>
      <c r="AK9" s="1">
        <v>0.78</v>
      </c>
      <c r="AL9" s="1">
        <v>0.87</v>
      </c>
      <c r="AM9" s="117">
        <f t="shared" si="0"/>
        <v>312974.27066880005</v>
      </c>
      <c r="AN9" s="118">
        <f t="shared" si="1"/>
        <v>210019.63253760003</v>
      </c>
      <c r="AO9" s="2" t="s">
        <v>2405</v>
      </c>
      <c r="AQ9" s="98"/>
      <c r="AR9" s="98"/>
    </row>
    <row r="10" spans="1:44" ht="25.5">
      <c r="A10" s="10">
        <v>8</v>
      </c>
      <c r="B10" s="1" t="s">
        <v>3</v>
      </c>
      <c r="C10" s="1" t="s">
        <v>3</v>
      </c>
      <c r="D10" s="1">
        <v>1</v>
      </c>
      <c r="E10" s="1" t="s">
        <v>112</v>
      </c>
      <c r="F10" s="1" t="s">
        <v>115</v>
      </c>
      <c r="G10" s="2" t="s">
        <v>2437</v>
      </c>
      <c r="H10" s="1" t="s">
        <v>4166</v>
      </c>
      <c r="I10" s="19" t="s">
        <v>4127</v>
      </c>
      <c r="J10" s="58">
        <v>29104391</v>
      </c>
      <c r="K10" s="19" t="s">
        <v>2438</v>
      </c>
      <c r="L10" s="19">
        <v>3447000</v>
      </c>
      <c r="M10" s="19" t="s">
        <v>3735</v>
      </c>
      <c r="N10" s="19" t="s">
        <v>2439</v>
      </c>
      <c r="O10" s="19">
        <v>3428</v>
      </c>
      <c r="P10" s="59">
        <v>43073</v>
      </c>
      <c r="Q10" s="59">
        <v>46724</v>
      </c>
      <c r="R10" s="19" t="s">
        <v>2440</v>
      </c>
      <c r="S10" s="1" t="s">
        <v>2442</v>
      </c>
      <c r="T10" s="1" t="s">
        <v>2443</v>
      </c>
      <c r="U10" s="9" t="s">
        <v>2574</v>
      </c>
      <c r="V10" s="9" t="s">
        <v>116</v>
      </c>
      <c r="W10" s="9">
        <v>2561</v>
      </c>
      <c r="X10" s="60">
        <v>115001.77</v>
      </c>
      <c r="Y10" s="60">
        <v>71256.08</v>
      </c>
      <c r="Z10" s="2" t="s">
        <v>3741</v>
      </c>
      <c r="AA10" s="48"/>
      <c r="AB10" s="9"/>
      <c r="AC10" s="13"/>
      <c r="AD10" s="13"/>
      <c r="AE10" s="13"/>
      <c r="AF10" s="13"/>
      <c r="AG10" s="43"/>
      <c r="AH10" s="43"/>
      <c r="AI10" s="2"/>
      <c r="AJ10" s="1"/>
      <c r="AK10" s="1"/>
      <c r="AL10" s="1"/>
      <c r="AM10" s="44">
        <f t="shared" si="0"/>
        <v>0</v>
      </c>
      <c r="AN10" s="45">
        <f t="shared" si="1"/>
        <v>0</v>
      </c>
      <c r="AO10" s="2" t="s">
        <v>2405</v>
      </c>
      <c r="AQ10" s="98"/>
      <c r="AR10" s="98"/>
    </row>
    <row r="11" spans="1:44" ht="25.5">
      <c r="A11" s="10">
        <v>9</v>
      </c>
      <c r="B11" s="1" t="s">
        <v>3</v>
      </c>
      <c r="C11" s="1" t="s">
        <v>3</v>
      </c>
      <c r="D11" s="1">
        <v>1</v>
      </c>
      <c r="E11" s="1" t="s">
        <v>117</v>
      </c>
      <c r="F11" s="1" t="s">
        <v>118</v>
      </c>
      <c r="G11" s="2" t="s">
        <v>2437</v>
      </c>
      <c r="H11" s="1" t="s">
        <v>4166</v>
      </c>
      <c r="I11" s="19" t="s">
        <v>4127</v>
      </c>
      <c r="J11" s="58">
        <v>29104391</v>
      </c>
      <c r="K11" s="19" t="s">
        <v>2438</v>
      </c>
      <c r="L11" s="19">
        <v>3447000</v>
      </c>
      <c r="M11" s="19" t="s">
        <v>3735</v>
      </c>
      <c r="N11" s="19" t="s">
        <v>2439</v>
      </c>
      <c r="O11" s="19">
        <v>3428</v>
      </c>
      <c r="P11" s="59">
        <v>43073</v>
      </c>
      <c r="Q11" s="59">
        <v>46724</v>
      </c>
      <c r="R11" s="19" t="s">
        <v>2440</v>
      </c>
      <c r="S11" s="1" t="s">
        <v>2442</v>
      </c>
      <c r="T11" s="1" t="s">
        <v>2443</v>
      </c>
      <c r="U11" s="9" t="s">
        <v>2575</v>
      </c>
      <c r="V11" s="9" t="s">
        <v>119</v>
      </c>
      <c r="W11" s="9">
        <v>2560</v>
      </c>
      <c r="X11" s="60">
        <v>115022.9</v>
      </c>
      <c r="Y11" s="60">
        <v>104818.75</v>
      </c>
      <c r="Z11" s="2" t="s">
        <v>3741</v>
      </c>
      <c r="AA11" s="48"/>
      <c r="AB11" s="9"/>
      <c r="AC11" s="13"/>
      <c r="AD11" s="13"/>
      <c r="AE11" s="13"/>
      <c r="AF11" s="13"/>
      <c r="AG11" s="43"/>
      <c r="AH11" s="43"/>
      <c r="AI11" s="2"/>
      <c r="AJ11" s="1"/>
      <c r="AK11" s="1"/>
      <c r="AL11" s="1"/>
      <c r="AM11" s="44">
        <f t="shared" si="0"/>
        <v>0</v>
      </c>
      <c r="AN11" s="45">
        <f t="shared" si="1"/>
        <v>0</v>
      </c>
      <c r="AO11" s="2" t="s">
        <v>2405</v>
      </c>
      <c r="AQ11" s="98"/>
      <c r="AR11" s="98"/>
    </row>
    <row r="12" spans="1:44" ht="25.5">
      <c r="A12" s="10">
        <v>10</v>
      </c>
      <c r="B12" s="1" t="s">
        <v>3</v>
      </c>
      <c r="C12" s="1" t="s">
        <v>3</v>
      </c>
      <c r="D12" s="1">
        <v>1</v>
      </c>
      <c r="E12" s="1" t="s">
        <v>120</v>
      </c>
      <c r="F12" s="1" t="s">
        <v>118</v>
      </c>
      <c r="G12" s="2" t="s">
        <v>2437</v>
      </c>
      <c r="H12" s="1" t="s">
        <v>4166</v>
      </c>
      <c r="I12" s="19" t="s">
        <v>4127</v>
      </c>
      <c r="J12" s="58">
        <v>29104391</v>
      </c>
      <c r="K12" s="19" t="s">
        <v>2438</v>
      </c>
      <c r="L12" s="19">
        <v>3447000</v>
      </c>
      <c r="M12" s="19" t="s">
        <v>3735</v>
      </c>
      <c r="N12" s="19" t="s">
        <v>2439</v>
      </c>
      <c r="O12" s="19">
        <v>3428</v>
      </c>
      <c r="P12" s="59">
        <v>43073</v>
      </c>
      <c r="Q12" s="59">
        <v>46724</v>
      </c>
      <c r="R12" s="19" t="s">
        <v>2440</v>
      </c>
      <c r="S12" s="1" t="s">
        <v>2441</v>
      </c>
      <c r="T12" s="1" t="s">
        <v>2443</v>
      </c>
      <c r="U12" s="9" t="s">
        <v>2576</v>
      </c>
      <c r="V12" s="9" t="s">
        <v>121</v>
      </c>
      <c r="W12" s="9">
        <v>2560</v>
      </c>
      <c r="X12" s="60">
        <v>115031.81</v>
      </c>
      <c r="Y12" s="60">
        <v>104824.91</v>
      </c>
      <c r="Z12" s="2" t="s">
        <v>3741</v>
      </c>
      <c r="AA12" s="48"/>
      <c r="AB12" s="9"/>
      <c r="AC12" s="13"/>
      <c r="AD12" s="13"/>
      <c r="AE12" s="13"/>
      <c r="AF12" s="13"/>
      <c r="AG12" s="43"/>
      <c r="AH12" s="43"/>
      <c r="AI12" s="2"/>
      <c r="AJ12" s="1"/>
      <c r="AK12" s="1"/>
      <c r="AL12" s="1"/>
      <c r="AM12" s="44">
        <f t="shared" si="0"/>
        <v>0</v>
      </c>
      <c r="AN12" s="45">
        <f t="shared" si="1"/>
        <v>0</v>
      </c>
      <c r="AO12" s="2" t="s">
        <v>2405</v>
      </c>
      <c r="AQ12" s="98"/>
      <c r="AR12" s="98"/>
    </row>
    <row r="13" spans="1:44" ht="25.5">
      <c r="A13" s="10">
        <v>11</v>
      </c>
      <c r="B13" s="1" t="s">
        <v>3</v>
      </c>
      <c r="C13" s="1" t="s">
        <v>3</v>
      </c>
      <c r="D13" s="1">
        <v>1</v>
      </c>
      <c r="E13" s="1" t="s">
        <v>122</v>
      </c>
      <c r="F13" s="1" t="s">
        <v>118</v>
      </c>
      <c r="G13" s="2" t="s">
        <v>2437</v>
      </c>
      <c r="H13" s="1" t="s">
        <v>4166</v>
      </c>
      <c r="I13" s="19" t="s">
        <v>4127</v>
      </c>
      <c r="J13" s="58">
        <v>29104391</v>
      </c>
      <c r="K13" s="19" t="s">
        <v>2438</v>
      </c>
      <c r="L13" s="19">
        <v>3447000</v>
      </c>
      <c r="M13" s="19" t="s">
        <v>3735</v>
      </c>
      <c r="N13" s="19" t="s">
        <v>2439</v>
      </c>
      <c r="O13" s="19">
        <v>3428</v>
      </c>
      <c r="P13" s="59">
        <v>43073</v>
      </c>
      <c r="Q13" s="59">
        <v>46724</v>
      </c>
      <c r="R13" s="19" t="s">
        <v>2440</v>
      </c>
      <c r="S13" s="1" t="s">
        <v>2442</v>
      </c>
      <c r="T13" s="1" t="s">
        <v>2444</v>
      </c>
      <c r="U13" s="9" t="s">
        <v>2577</v>
      </c>
      <c r="V13" s="9" t="s">
        <v>123</v>
      </c>
      <c r="W13" s="9">
        <v>2559</v>
      </c>
      <c r="X13" s="60">
        <v>115048.09</v>
      </c>
      <c r="Y13" s="60">
        <v>104765.41</v>
      </c>
      <c r="Z13" s="2" t="s">
        <v>3741</v>
      </c>
      <c r="AA13" s="48"/>
      <c r="AB13" s="9"/>
      <c r="AC13" s="13"/>
      <c r="AD13" s="13"/>
      <c r="AE13" s="13"/>
      <c r="AF13" s="13"/>
      <c r="AG13" s="43"/>
      <c r="AH13" s="43"/>
      <c r="AI13" s="2"/>
      <c r="AJ13" s="1"/>
      <c r="AK13" s="1"/>
      <c r="AL13" s="1"/>
      <c r="AM13" s="44">
        <f t="shared" si="0"/>
        <v>0</v>
      </c>
      <c r="AN13" s="45">
        <f t="shared" si="1"/>
        <v>0</v>
      </c>
      <c r="AO13" s="2" t="s">
        <v>2405</v>
      </c>
      <c r="AQ13" s="98"/>
      <c r="AR13" s="98"/>
    </row>
    <row r="14" spans="1:44" ht="63" customHeight="1">
      <c r="A14" s="10">
        <v>12</v>
      </c>
      <c r="B14" s="1" t="s">
        <v>3</v>
      </c>
      <c r="C14" s="1" t="s">
        <v>3</v>
      </c>
      <c r="D14" s="1">
        <v>1</v>
      </c>
      <c r="E14" s="1" t="s">
        <v>113</v>
      </c>
      <c r="F14" s="1" t="s">
        <v>124</v>
      </c>
      <c r="G14" s="2" t="s">
        <v>2437</v>
      </c>
      <c r="H14" s="1" t="s">
        <v>4166</v>
      </c>
      <c r="I14" s="19" t="s">
        <v>4127</v>
      </c>
      <c r="J14" s="58">
        <v>29104391</v>
      </c>
      <c r="K14" s="19" t="s">
        <v>2438</v>
      </c>
      <c r="L14" s="19">
        <v>3447000</v>
      </c>
      <c r="M14" s="19" t="s">
        <v>3735</v>
      </c>
      <c r="N14" s="19" t="s">
        <v>2439</v>
      </c>
      <c r="O14" s="19">
        <v>3428</v>
      </c>
      <c r="P14" s="59">
        <v>43073</v>
      </c>
      <c r="Q14" s="59">
        <v>46724</v>
      </c>
      <c r="R14" s="19" t="s">
        <v>2440</v>
      </c>
      <c r="S14" s="1" t="s">
        <v>2442</v>
      </c>
      <c r="T14" s="1" t="s">
        <v>2443</v>
      </c>
      <c r="U14" s="9" t="s">
        <v>2578</v>
      </c>
      <c r="V14" s="9" t="s">
        <v>125</v>
      </c>
      <c r="W14" s="9">
        <v>2560</v>
      </c>
      <c r="X14" s="60">
        <v>115086.76</v>
      </c>
      <c r="Y14" s="60">
        <v>104696.97</v>
      </c>
      <c r="Z14" s="2" t="s">
        <v>4029</v>
      </c>
      <c r="AA14" s="47">
        <v>43768</v>
      </c>
      <c r="AB14" s="52">
        <v>0.41041666666666665</v>
      </c>
      <c r="AC14" s="13"/>
      <c r="AD14" s="13"/>
      <c r="AE14" s="49"/>
      <c r="AF14" s="13"/>
      <c r="AG14" s="43"/>
      <c r="AH14" s="43"/>
      <c r="AI14" s="2"/>
      <c r="AJ14" s="1"/>
      <c r="AK14" s="1"/>
      <c r="AL14" s="1"/>
      <c r="AM14" s="117">
        <v>2112.085580925794</v>
      </c>
      <c r="AN14" s="118">
        <v>793.7304627820389</v>
      </c>
      <c r="AO14" s="2" t="s">
        <v>2405</v>
      </c>
      <c r="AQ14" s="98"/>
      <c r="AR14" s="98"/>
    </row>
    <row r="15" spans="1:44" ht="25.5">
      <c r="A15" s="10">
        <v>13</v>
      </c>
      <c r="B15" s="1" t="s">
        <v>3</v>
      </c>
      <c r="C15" s="1" t="s">
        <v>3</v>
      </c>
      <c r="D15" s="1">
        <v>1</v>
      </c>
      <c r="E15" s="1" t="s">
        <v>126</v>
      </c>
      <c r="F15" s="1" t="s">
        <v>127</v>
      </c>
      <c r="G15" s="2" t="s">
        <v>2437</v>
      </c>
      <c r="H15" s="1" t="s">
        <v>4166</v>
      </c>
      <c r="I15" s="19" t="s">
        <v>4127</v>
      </c>
      <c r="J15" s="58">
        <v>29104391</v>
      </c>
      <c r="K15" s="19" t="s">
        <v>2438</v>
      </c>
      <c r="L15" s="19">
        <v>3447000</v>
      </c>
      <c r="M15" s="19" t="s">
        <v>3735</v>
      </c>
      <c r="N15" s="19" t="s">
        <v>2439</v>
      </c>
      <c r="O15" s="19">
        <v>3428</v>
      </c>
      <c r="P15" s="59">
        <v>43073</v>
      </c>
      <c r="Q15" s="59">
        <v>46724</v>
      </c>
      <c r="R15" s="19" t="s">
        <v>2440</v>
      </c>
      <c r="S15" s="1" t="s">
        <v>2442</v>
      </c>
      <c r="T15" s="1" t="s">
        <v>2443</v>
      </c>
      <c r="U15" s="9" t="s">
        <v>2579</v>
      </c>
      <c r="V15" s="9" t="s">
        <v>128</v>
      </c>
      <c r="W15" s="9">
        <v>2562</v>
      </c>
      <c r="X15" s="60">
        <v>115166.09</v>
      </c>
      <c r="Y15" s="60">
        <v>104530.15</v>
      </c>
      <c r="Z15" s="2" t="s">
        <v>3744</v>
      </c>
      <c r="AA15" s="47">
        <v>43768</v>
      </c>
      <c r="AB15" s="9" t="s">
        <v>2411</v>
      </c>
      <c r="AC15" s="13">
        <v>53</v>
      </c>
      <c r="AD15" s="13">
        <v>50</v>
      </c>
      <c r="AE15" s="49">
        <v>0.932</v>
      </c>
      <c r="AF15" s="13">
        <v>24</v>
      </c>
      <c r="AG15" s="43">
        <f>AE15*AC15*AF15*0.0036</f>
        <v>4.2678144</v>
      </c>
      <c r="AH15" s="43">
        <f>AE15*AD15*AF15*0.0036</f>
        <v>4.0262400000000005</v>
      </c>
      <c r="AI15" s="2">
        <v>30</v>
      </c>
      <c r="AJ15" s="1">
        <v>12</v>
      </c>
      <c r="AK15" s="1">
        <v>0.63</v>
      </c>
      <c r="AL15" s="1">
        <v>0.68</v>
      </c>
      <c r="AM15" s="117">
        <f aca="true" t="shared" si="2" ref="AM15:AM23">AG15*AI15*AJ15*AK15</f>
        <v>967.9403059199999</v>
      </c>
      <c r="AN15" s="118">
        <f aca="true" t="shared" si="3" ref="AN15:AN23">AH15*AI15*AJ15*AL15</f>
        <v>985.6235520000002</v>
      </c>
      <c r="AO15" s="2" t="s">
        <v>2405</v>
      </c>
      <c r="AQ15" s="98"/>
      <c r="AR15" s="98"/>
    </row>
    <row r="16" spans="1:44" ht="25.5">
      <c r="A16" s="10">
        <v>14</v>
      </c>
      <c r="B16" s="1" t="s">
        <v>3</v>
      </c>
      <c r="C16" s="1" t="s">
        <v>3</v>
      </c>
      <c r="D16" s="1">
        <v>1</v>
      </c>
      <c r="E16" s="1" t="s">
        <v>129</v>
      </c>
      <c r="F16" s="1" t="s">
        <v>127</v>
      </c>
      <c r="G16" s="2" t="s">
        <v>2437</v>
      </c>
      <c r="H16" s="1" t="s">
        <v>4166</v>
      </c>
      <c r="I16" s="19" t="s">
        <v>4127</v>
      </c>
      <c r="J16" s="58">
        <v>29104391</v>
      </c>
      <c r="K16" s="19" t="s">
        <v>2438</v>
      </c>
      <c r="L16" s="19">
        <v>3447000</v>
      </c>
      <c r="M16" s="19" t="s">
        <v>3735</v>
      </c>
      <c r="N16" s="19" t="s">
        <v>2439</v>
      </c>
      <c r="O16" s="19">
        <v>3428</v>
      </c>
      <c r="P16" s="59">
        <v>43073</v>
      </c>
      <c r="Q16" s="59">
        <v>46724</v>
      </c>
      <c r="R16" s="19" t="s">
        <v>2440</v>
      </c>
      <c r="S16" s="1" t="s">
        <v>2441</v>
      </c>
      <c r="T16" s="1" t="s">
        <v>2443</v>
      </c>
      <c r="U16" s="9" t="s">
        <v>2580</v>
      </c>
      <c r="V16" s="9" t="s">
        <v>130</v>
      </c>
      <c r="W16" s="9">
        <v>2562</v>
      </c>
      <c r="X16" s="60">
        <v>115205.07</v>
      </c>
      <c r="Y16" s="60">
        <v>104465.72</v>
      </c>
      <c r="Z16" s="2" t="s">
        <v>3741</v>
      </c>
      <c r="AA16" s="48"/>
      <c r="AB16" s="9"/>
      <c r="AC16" s="13"/>
      <c r="AD16" s="13"/>
      <c r="AE16" s="13"/>
      <c r="AF16" s="13"/>
      <c r="AG16" s="43"/>
      <c r="AH16" s="43"/>
      <c r="AI16" s="2"/>
      <c r="AJ16" s="1"/>
      <c r="AK16" s="1"/>
      <c r="AL16" s="1"/>
      <c r="AM16" s="44">
        <f t="shared" si="2"/>
        <v>0</v>
      </c>
      <c r="AN16" s="45">
        <f t="shared" si="3"/>
        <v>0</v>
      </c>
      <c r="AO16" s="2" t="s">
        <v>2405</v>
      </c>
      <c r="AQ16" s="98"/>
      <c r="AR16" s="98"/>
    </row>
    <row r="17" spans="1:44" ht="36.75" customHeight="1">
      <c r="A17" s="10">
        <v>15</v>
      </c>
      <c r="B17" s="1" t="s">
        <v>3</v>
      </c>
      <c r="C17" s="1" t="s">
        <v>3</v>
      </c>
      <c r="D17" s="1">
        <v>1</v>
      </c>
      <c r="E17" s="1" t="s">
        <v>131</v>
      </c>
      <c r="F17" s="1" t="s">
        <v>132</v>
      </c>
      <c r="G17" s="2" t="s">
        <v>2437</v>
      </c>
      <c r="H17" s="1" t="s">
        <v>4166</v>
      </c>
      <c r="I17" s="19" t="s">
        <v>4127</v>
      </c>
      <c r="J17" s="58">
        <v>29104391</v>
      </c>
      <c r="K17" s="19" t="s">
        <v>2438</v>
      </c>
      <c r="L17" s="19">
        <v>3447000</v>
      </c>
      <c r="M17" s="19" t="s">
        <v>3735</v>
      </c>
      <c r="N17" s="19" t="s">
        <v>4181</v>
      </c>
      <c r="O17" s="19">
        <v>3428</v>
      </c>
      <c r="P17" s="59">
        <v>43073</v>
      </c>
      <c r="Q17" s="59">
        <v>46724</v>
      </c>
      <c r="R17" s="19" t="s">
        <v>2440</v>
      </c>
      <c r="S17" s="1" t="s">
        <v>2442</v>
      </c>
      <c r="T17" s="1" t="s">
        <v>2443</v>
      </c>
      <c r="U17" s="9" t="s">
        <v>2581</v>
      </c>
      <c r="V17" s="9" t="s">
        <v>133</v>
      </c>
      <c r="W17" s="9">
        <v>2560</v>
      </c>
      <c r="X17" s="60">
        <v>115227.72</v>
      </c>
      <c r="Y17" s="60">
        <v>104401.43</v>
      </c>
      <c r="Z17" s="2" t="s">
        <v>3744</v>
      </c>
      <c r="AA17" s="47">
        <v>43768</v>
      </c>
      <c r="AB17" s="9" t="s">
        <v>2408</v>
      </c>
      <c r="AC17" s="13">
        <v>52</v>
      </c>
      <c r="AD17" s="13">
        <v>33</v>
      </c>
      <c r="AE17" s="49">
        <v>0.545</v>
      </c>
      <c r="AF17" s="13">
        <v>24</v>
      </c>
      <c r="AG17" s="102">
        <f>AE17*AC17*AF17*0.0036</f>
        <v>2.448576</v>
      </c>
      <c r="AH17" s="102">
        <f>AE17*AD17*AF17*0.0036</f>
        <v>1.5539040000000004</v>
      </c>
      <c r="AI17" s="2">
        <v>30</v>
      </c>
      <c r="AJ17" s="1">
        <v>12</v>
      </c>
      <c r="AK17" s="1">
        <v>0.68</v>
      </c>
      <c r="AL17" s="1">
        <v>0.69</v>
      </c>
      <c r="AM17" s="117">
        <f t="shared" si="2"/>
        <v>599.4114048</v>
      </c>
      <c r="AN17" s="118">
        <f t="shared" si="3"/>
        <v>385.98975360000014</v>
      </c>
      <c r="AO17" s="2" t="s">
        <v>2405</v>
      </c>
      <c r="AQ17" s="98"/>
      <c r="AR17" s="98"/>
    </row>
    <row r="18" spans="1:44" ht="42" customHeight="1">
      <c r="A18" s="10">
        <v>16</v>
      </c>
      <c r="B18" s="1" t="s">
        <v>3</v>
      </c>
      <c r="C18" s="1" t="s">
        <v>3</v>
      </c>
      <c r="D18" s="1">
        <v>1</v>
      </c>
      <c r="E18" s="1" t="s">
        <v>134</v>
      </c>
      <c r="F18" s="1" t="s">
        <v>135</v>
      </c>
      <c r="G18" s="2" t="s">
        <v>2437</v>
      </c>
      <c r="H18" s="1" t="s">
        <v>4166</v>
      </c>
      <c r="I18" s="19" t="s">
        <v>4127</v>
      </c>
      <c r="J18" s="58">
        <v>29104391</v>
      </c>
      <c r="K18" s="19" t="s">
        <v>2438</v>
      </c>
      <c r="L18" s="19">
        <v>3447000</v>
      </c>
      <c r="M18" s="19" t="s">
        <v>3735</v>
      </c>
      <c r="N18" s="19" t="s">
        <v>4181</v>
      </c>
      <c r="O18" s="19">
        <v>3428</v>
      </c>
      <c r="P18" s="59">
        <v>43073</v>
      </c>
      <c r="Q18" s="59">
        <v>46724</v>
      </c>
      <c r="R18" s="19" t="s">
        <v>2440</v>
      </c>
      <c r="S18" s="1" t="s">
        <v>2441</v>
      </c>
      <c r="T18" s="1" t="s">
        <v>2444</v>
      </c>
      <c r="U18" s="9" t="s">
        <v>2582</v>
      </c>
      <c r="V18" s="9" t="s">
        <v>136</v>
      </c>
      <c r="W18" s="9">
        <v>2562</v>
      </c>
      <c r="X18" s="60">
        <v>115215.4</v>
      </c>
      <c r="Y18" s="60">
        <v>104443.03</v>
      </c>
      <c r="Z18" s="2" t="s">
        <v>3745</v>
      </c>
      <c r="AA18" s="47">
        <v>43768</v>
      </c>
      <c r="AB18" s="52">
        <v>0.4451388888888889</v>
      </c>
      <c r="AC18" s="122"/>
      <c r="AD18" s="122"/>
      <c r="AE18" s="122"/>
      <c r="AF18" s="122"/>
      <c r="AG18" s="122"/>
      <c r="AH18" s="122"/>
      <c r="AI18" s="122"/>
      <c r="AJ18" s="122"/>
      <c r="AK18" s="122"/>
      <c r="AL18" s="122"/>
      <c r="AM18" s="117">
        <f t="shared" si="2"/>
        <v>0</v>
      </c>
      <c r="AN18" s="118">
        <f t="shared" si="3"/>
        <v>0</v>
      </c>
      <c r="AO18" s="2" t="s">
        <v>2405</v>
      </c>
      <c r="AQ18" s="98"/>
      <c r="AR18" s="98"/>
    </row>
    <row r="19" spans="1:44" ht="44.25" customHeight="1">
      <c r="A19" s="10">
        <v>17</v>
      </c>
      <c r="B19" s="1" t="s">
        <v>3</v>
      </c>
      <c r="C19" s="1" t="s">
        <v>3</v>
      </c>
      <c r="D19" s="1">
        <v>1</v>
      </c>
      <c r="E19" s="1" t="s">
        <v>150</v>
      </c>
      <c r="F19" s="1" t="s">
        <v>151</v>
      </c>
      <c r="G19" s="2" t="s">
        <v>2437</v>
      </c>
      <c r="H19" s="1" t="s">
        <v>4166</v>
      </c>
      <c r="I19" s="19" t="s">
        <v>4127</v>
      </c>
      <c r="J19" s="58">
        <v>29104391</v>
      </c>
      <c r="K19" s="19" t="s">
        <v>2438</v>
      </c>
      <c r="L19" s="19">
        <v>3447000</v>
      </c>
      <c r="M19" s="19" t="s">
        <v>3735</v>
      </c>
      <c r="N19" s="19" t="s">
        <v>4181</v>
      </c>
      <c r="O19" s="19">
        <v>3428</v>
      </c>
      <c r="P19" s="59">
        <v>43073</v>
      </c>
      <c r="Q19" s="59">
        <v>46724</v>
      </c>
      <c r="R19" s="19" t="s">
        <v>2440</v>
      </c>
      <c r="S19" s="1" t="s">
        <v>2442</v>
      </c>
      <c r="T19" s="1" t="s">
        <v>2447</v>
      </c>
      <c r="U19" s="2" t="s">
        <v>2583</v>
      </c>
      <c r="V19" s="2" t="s">
        <v>7</v>
      </c>
      <c r="W19" s="2">
        <v>2557</v>
      </c>
      <c r="X19" s="60">
        <v>116797.31</v>
      </c>
      <c r="Y19" s="60">
        <v>104246.57</v>
      </c>
      <c r="Z19" s="2" t="s">
        <v>3745</v>
      </c>
      <c r="AA19" s="47">
        <v>43769</v>
      </c>
      <c r="AB19" s="52">
        <v>0.4576388888888889</v>
      </c>
      <c r="AC19" s="122"/>
      <c r="AD19" s="122"/>
      <c r="AE19" s="122"/>
      <c r="AF19" s="122"/>
      <c r="AG19" s="122"/>
      <c r="AH19" s="122"/>
      <c r="AI19" s="122"/>
      <c r="AJ19" s="122"/>
      <c r="AK19" s="122"/>
      <c r="AL19" s="122"/>
      <c r="AM19" s="117">
        <f t="shared" si="2"/>
        <v>0</v>
      </c>
      <c r="AN19" s="118">
        <f t="shared" si="3"/>
        <v>0</v>
      </c>
      <c r="AO19" s="2" t="s">
        <v>2405</v>
      </c>
      <c r="AQ19" s="98"/>
      <c r="AR19" s="98"/>
    </row>
    <row r="20" spans="1:44" ht="36.75" customHeight="1">
      <c r="A20" s="10">
        <v>18</v>
      </c>
      <c r="B20" s="1" t="s">
        <v>3</v>
      </c>
      <c r="C20" s="1" t="s">
        <v>3</v>
      </c>
      <c r="D20" s="1">
        <v>1</v>
      </c>
      <c r="E20" s="1" t="s">
        <v>137</v>
      </c>
      <c r="F20" s="1" t="s">
        <v>138</v>
      </c>
      <c r="G20" s="2" t="s">
        <v>2437</v>
      </c>
      <c r="H20" s="1" t="s">
        <v>4166</v>
      </c>
      <c r="I20" s="19" t="s">
        <v>4127</v>
      </c>
      <c r="J20" s="58">
        <v>29104391</v>
      </c>
      <c r="K20" s="19" t="s">
        <v>2438</v>
      </c>
      <c r="L20" s="19">
        <v>3447000</v>
      </c>
      <c r="M20" s="19" t="s">
        <v>3735</v>
      </c>
      <c r="N20" s="19" t="s">
        <v>4181</v>
      </c>
      <c r="O20" s="19">
        <v>3428</v>
      </c>
      <c r="P20" s="59">
        <v>43073</v>
      </c>
      <c r="Q20" s="59">
        <v>46724</v>
      </c>
      <c r="R20" s="19" t="s">
        <v>2440</v>
      </c>
      <c r="S20" s="1" t="s">
        <v>2441</v>
      </c>
      <c r="T20" s="1" t="s">
        <v>2443</v>
      </c>
      <c r="U20" s="9" t="s">
        <v>2584</v>
      </c>
      <c r="V20" s="9" t="s">
        <v>139</v>
      </c>
      <c r="W20" s="9">
        <v>2557</v>
      </c>
      <c r="X20" s="60">
        <v>115564.58</v>
      </c>
      <c r="Y20" s="60">
        <v>104352.52</v>
      </c>
      <c r="Z20" s="2" t="s">
        <v>3744</v>
      </c>
      <c r="AA20" s="47">
        <v>43769</v>
      </c>
      <c r="AB20" s="9" t="s">
        <v>2411</v>
      </c>
      <c r="AC20" s="13">
        <v>2</v>
      </c>
      <c r="AD20" s="13">
        <v>3</v>
      </c>
      <c r="AE20" s="13">
        <v>2.663</v>
      </c>
      <c r="AF20" s="13">
        <v>24</v>
      </c>
      <c r="AG20" s="102">
        <f>AE20*AC20*AF20*0.0036</f>
        <v>0.4601663999999999</v>
      </c>
      <c r="AH20" s="102">
        <f>AE20*AD20*AF20*0.0036</f>
        <v>0.6902495999999999</v>
      </c>
      <c r="AI20" s="2">
        <v>30</v>
      </c>
      <c r="AJ20" s="1">
        <v>12</v>
      </c>
      <c r="AK20" s="13">
        <v>0.63</v>
      </c>
      <c r="AL20" s="13">
        <v>0.68</v>
      </c>
      <c r="AM20" s="117">
        <f t="shared" si="2"/>
        <v>104.36573951999998</v>
      </c>
      <c r="AN20" s="118">
        <f t="shared" si="3"/>
        <v>168.97310208</v>
      </c>
      <c r="AO20" s="2" t="s">
        <v>2405</v>
      </c>
      <c r="AQ20" s="98"/>
      <c r="AR20" s="98"/>
    </row>
    <row r="21" spans="1:44" ht="45.75" customHeight="1">
      <c r="A21" s="10">
        <v>19</v>
      </c>
      <c r="B21" s="1" t="s">
        <v>3</v>
      </c>
      <c r="C21" s="1" t="s">
        <v>3</v>
      </c>
      <c r="D21" s="1">
        <v>1</v>
      </c>
      <c r="E21" s="1" t="s">
        <v>152</v>
      </c>
      <c r="F21" s="1" t="s">
        <v>141</v>
      </c>
      <c r="G21" s="2" t="s">
        <v>2437</v>
      </c>
      <c r="H21" s="1" t="s">
        <v>4166</v>
      </c>
      <c r="I21" s="19" t="s">
        <v>4127</v>
      </c>
      <c r="J21" s="58">
        <v>29104391</v>
      </c>
      <c r="K21" s="19" t="s">
        <v>2438</v>
      </c>
      <c r="L21" s="19">
        <v>3447000</v>
      </c>
      <c r="M21" s="19" t="s">
        <v>3735</v>
      </c>
      <c r="N21" s="19" t="s">
        <v>4181</v>
      </c>
      <c r="O21" s="19">
        <v>3428</v>
      </c>
      <c r="P21" s="59">
        <v>43073</v>
      </c>
      <c r="Q21" s="59">
        <v>46724</v>
      </c>
      <c r="R21" s="19" t="s">
        <v>2440</v>
      </c>
      <c r="S21" s="1" t="s">
        <v>2442</v>
      </c>
      <c r="T21" s="29" t="s">
        <v>2443</v>
      </c>
      <c r="U21" s="2" t="s">
        <v>50</v>
      </c>
      <c r="V21" s="2" t="s">
        <v>2607</v>
      </c>
      <c r="W21" s="9">
        <v>2557</v>
      </c>
      <c r="X21" s="60">
        <v>115577.79</v>
      </c>
      <c r="Y21" s="60">
        <v>104329.08</v>
      </c>
      <c r="Z21" s="2" t="s">
        <v>3745</v>
      </c>
      <c r="AA21" s="47">
        <v>43769</v>
      </c>
      <c r="AB21" s="52">
        <v>0.4395833333333334</v>
      </c>
      <c r="AC21" s="122"/>
      <c r="AD21" s="122"/>
      <c r="AE21" s="122"/>
      <c r="AF21" s="122"/>
      <c r="AG21" s="122"/>
      <c r="AH21" s="122"/>
      <c r="AI21" s="122"/>
      <c r="AJ21" s="122"/>
      <c r="AK21" s="122"/>
      <c r="AL21" s="122"/>
      <c r="AM21" s="117">
        <f t="shared" si="2"/>
        <v>0</v>
      </c>
      <c r="AN21" s="118">
        <f t="shared" si="3"/>
        <v>0</v>
      </c>
      <c r="AO21" s="2" t="s">
        <v>2405</v>
      </c>
      <c r="AQ21" s="98"/>
      <c r="AR21" s="98"/>
    </row>
    <row r="22" spans="1:44" ht="35.25" customHeight="1">
      <c r="A22" s="10">
        <v>20</v>
      </c>
      <c r="B22" s="1" t="s">
        <v>3</v>
      </c>
      <c r="C22" s="1" t="s">
        <v>3</v>
      </c>
      <c r="D22" s="1">
        <v>1</v>
      </c>
      <c r="E22" s="1" t="s">
        <v>140</v>
      </c>
      <c r="F22" s="1" t="s">
        <v>141</v>
      </c>
      <c r="G22" s="2" t="s">
        <v>2437</v>
      </c>
      <c r="H22" s="1" t="s">
        <v>4166</v>
      </c>
      <c r="I22" s="19" t="s">
        <v>4127</v>
      </c>
      <c r="J22" s="58">
        <v>29104391</v>
      </c>
      <c r="K22" s="19" t="s">
        <v>2438</v>
      </c>
      <c r="L22" s="19">
        <v>3447000</v>
      </c>
      <c r="M22" s="19" t="s">
        <v>3735</v>
      </c>
      <c r="N22" s="19" t="s">
        <v>4181</v>
      </c>
      <c r="O22" s="19">
        <v>3428</v>
      </c>
      <c r="P22" s="59">
        <v>43073</v>
      </c>
      <c r="Q22" s="59">
        <v>46724</v>
      </c>
      <c r="R22" s="19" t="s">
        <v>2440</v>
      </c>
      <c r="S22" s="1" t="s">
        <v>2442</v>
      </c>
      <c r="T22" s="1" t="s">
        <v>2443</v>
      </c>
      <c r="U22" s="9" t="s">
        <v>142</v>
      </c>
      <c r="V22" s="9" t="s">
        <v>143</v>
      </c>
      <c r="W22" s="9">
        <v>2557</v>
      </c>
      <c r="X22" s="60">
        <v>115626.04</v>
      </c>
      <c r="Y22" s="60">
        <v>104363.3</v>
      </c>
      <c r="Z22" s="2" t="s">
        <v>3744</v>
      </c>
      <c r="AA22" s="47">
        <v>43769</v>
      </c>
      <c r="AB22" s="9" t="s">
        <v>2412</v>
      </c>
      <c r="AC22" s="13">
        <v>64</v>
      </c>
      <c r="AD22" s="13">
        <v>31</v>
      </c>
      <c r="AE22" s="49">
        <v>0.568</v>
      </c>
      <c r="AF22" s="13">
        <v>24</v>
      </c>
      <c r="AG22" s="43">
        <f>AE22*AC22*AF22*0.0036</f>
        <v>3.1408127999999995</v>
      </c>
      <c r="AH22" s="43">
        <f>AE22*AD22*AF22*0.0036</f>
        <v>1.5213311999999997</v>
      </c>
      <c r="AI22" s="2">
        <v>30</v>
      </c>
      <c r="AJ22" s="1">
        <v>12</v>
      </c>
      <c r="AK22" s="1">
        <v>0.68</v>
      </c>
      <c r="AL22" s="1">
        <v>0.69</v>
      </c>
      <c r="AM22" s="117">
        <f t="shared" si="2"/>
        <v>768.87097344</v>
      </c>
      <c r="AN22" s="118">
        <f t="shared" si="3"/>
        <v>377.89867007999993</v>
      </c>
      <c r="AO22" s="2" t="s">
        <v>2405</v>
      </c>
      <c r="AQ22" s="98"/>
      <c r="AR22" s="98"/>
    </row>
    <row r="23" spans="1:44" ht="46.5" customHeight="1">
      <c r="A23" s="10">
        <v>21</v>
      </c>
      <c r="B23" s="1" t="s">
        <v>3</v>
      </c>
      <c r="C23" s="1" t="s">
        <v>3</v>
      </c>
      <c r="D23" s="1">
        <v>1</v>
      </c>
      <c r="E23" s="1" t="s">
        <v>144</v>
      </c>
      <c r="F23" s="1" t="s">
        <v>145</v>
      </c>
      <c r="G23" s="2" t="s">
        <v>2437</v>
      </c>
      <c r="H23" s="1" t="s">
        <v>4166</v>
      </c>
      <c r="I23" s="19" t="s">
        <v>4127</v>
      </c>
      <c r="J23" s="58">
        <v>29104391</v>
      </c>
      <c r="K23" s="19" t="s">
        <v>2438</v>
      </c>
      <c r="L23" s="19">
        <v>3447000</v>
      </c>
      <c r="M23" s="19" t="s">
        <v>3735</v>
      </c>
      <c r="N23" s="19" t="s">
        <v>4181</v>
      </c>
      <c r="O23" s="19">
        <v>3428</v>
      </c>
      <c r="P23" s="59">
        <v>43073</v>
      </c>
      <c r="Q23" s="59">
        <v>46724</v>
      </c>
      <c r="R23" s="19" t="s">
        <v>2440</v>
      </c>
      <c r="S23" s="1" t="s">
        <v>2441</v>
      </c>
      <c r="T23" s="1" t="s">
        <v>2443</v>
      </c>
      <c r="U23" s="9" t="s">
        <v>2585</v>
      </c>
      <c r="V23" s="9" t="s">
        <v>146</v>
      </c>
      <c r="W23" s="9">
        <v>2558</v>
      </c>
      <c r="X23" s="60">
        <v>115752.66</v>
      </c>
      <c r="Y23" s="60">
        <v>104425.55</v>
      </c>
      <c r="Z23" s="2" t="s">
        <v>3745</v>
      </c>
      <c r="AA23" s="47">
        <v>43770</v>
      </c>
      <c r="AB23" s="52">
        <v>0.525</v>
      </c>
      <c r="AC23" s="122"/>
      <c r="AD23" s="122"/>
      <c r="AE23" s="122"/>
      <c r="AF23" s="122"/>
      <c r="AG23" s="122"/>
      <c r="AH23" s="122"/>
      <c r="AI23" s="122"/>
      <c r="AJ23" s="122"/>
      <c r="AK23" s="122"/>
      <c r="AL23" s="122"/>
      <c r="AM23" s="117">
        <f t="shared" si="2"/>
        <v>0</v>
      </c>
      <c r="AN23" s="118">
        <f t="shared" si="3"/>
        <v>0</v>
      </c>
      <c r="AO23" s="2" t="s">
        <v>2405</v>
      </c>
      <c r="AQ23" s="98"/>
      <c r="AR23" s="98"/>
    </row>
    <row r="24" spans="1:44" ht="65.25" customHeight="1">
      <c r="A24" s="10">
        <v>22</v>
      </c>
      <c r="B24" s="1" t="s">
        <v>3</v>
      </c>
      <c r="C24" s="1" t="s">
        <v>3</v>
      </c>
      <c r="D24" s="1">
        <v>1</v>
      </c>
      <c r="E24" s="1" t="s">
        <v>147</v>
      </c>
      <c r="F24" s="1" t="s">
        <v>145</v>
      </c>
      <c r="G24" s="2" t="s">
        <v>2437</v>
      </c>
      <c r="H24" s="1" t="s">
        <v>4166</v>
      </c>
      <c r="I24" s="19" t="s">
        <v>4127</v>
      </c>
      <c r="J24" s="58">
        <v>29104391</v>
      </c>
      <c r="K24" s="19" t="s">
        <v>2438</v>
      </c>
      <c r="L24" s="19">
        <v>3447000</v>
      </c>
      <c r="M24" s="19" t="s">
        <v>3735</v>
      </c>
      <c r="N24" s="19" t="s">
        <v>4181</v>
      </c>
      <c r="O24" s="19">
        <v>3428</v>
      </c>
      <c r="P24" s="59">
        <v>43073</v>
      </c>
      <c r="Q24" s="59">
        <v>46724</v>
      </c>
      <c r="R24" s="19" t="s">
        <v>2440</v>
      </c>
      <c r="S24" s="1" t="s">
        <v>2442</v>
      </c>
      <c r="T24" s="1" t="s">
        <v>2443</v>
      </c>
      <c r="U24" s="9" t="s">
        <v>2586</v>
      </c>
      <c r="V24" s="9" t="s">
        <v>2608</v>
      </c>
      <c r="W24" s="9">
        <v>2558</v>
      </c>
      <c r="X24" s="60">
        <v>115757.88</v>
      </c>
      <c r="Y24" s="60">
        <v>104415.07</v>
      </c>
      <c r="Z24" s="2" t="s">
        <v>4030</v>
      </c>
      <c r="AA24" s="47">
        <v>43425</v>
      </c>
      <c r="AB24" s="52">
        <v>0.5972222222222222</v>
      </c>
      <c r="AC24" s="60"/>
      <c r="AD24" s="60"/>
      <c r="AE24" s="60"/>
      <c r="AF24" s="2"/>
      <c r="AG24" s="102"/>
      <c r="AH24" s="102"/>
      <c r="AI24" s="2"/>
      <c r="AJ24" s="1"/>
      <c r="AK24" s="1"/>
      <c r="AL24" s="1"/>
      <c r="AM24" s="117">
        <v>1572.8125742850962</v>
      </c>
      <c r="AN24" s="118">
        <v>1370.645683153861</v>
      </c>
      <c r="AO24" s="2" t="s">
        <v>2405</v>
      </c>
      <c r="AQ24" s="98"/>
      <c r="AR24" s="98"/>
    </row>
    <row r="25" spans="1:44" ht="38.25">
      <c r="A25" s="10">
        <v>23</v>
      </c>
      <c r="B25" s="1" t="s">
        <v>3</v>
      </c>
      <c r="C25" s="1" t="s">
        <v>3</v>
      </c>
      <c r="D25" s="1">
        <v>1</v>
      </c>
      <c r="E25" s="1" t="s">
        <v>148</v>
      </c>
      <c r="F25" s="1" t="s">
        <v>2230</v>
      </c>
      <c r="G25" s="2" t="s">
        <v>2437</v>
      </c>
      <c r="H25" s="1" t="s">
        <v>4166</v>
      </c>
      <c r="I25" s="19" t="s">
        <v>4127</v>
      </c>
      <c r="J25" s="58">
        <v>29104391</v>
      </c>
      <c r="K25" s="19" t="s">
        <v>2438</v>
      </c>
      <c r="L25" s="19">
        <v>3447000</v>
      </c>
      <c r="M25" s="19" t="s">
        <v>3735</v>
      </c>
      <c r="N25" s="19" t="s">
        <v>4181</v>
      </c>
      <c r="O25" s="19">
        <v>3428</v>
      </c>
      <c r="P25" s="59">
        <v>43073</v>
      </c>
      <c r="Q25" s="59">
        <v>46724</v>
      </c>
      <c r="R25" s="19" t="s">
        <v>2440</v>
      </c>
      <c r="S25" s="1" t="s">
        <v>2441</v>
      </c>
      <c r="T25" s="1" t="s">
        <v>2443</v>
      </c>
      <c r="U25" s="9" t="s">
        <v>2587</v>
      </c>
      <c r="V25" s="9" t="s">
        <v>149</v>
      </c>
      <c r="W25" s="9">
        <v>2560</v>
      </c>
      <c r="X25" s="9">
        <v>115839.43</v>
      </c>
      <c r="Y25" s="9">
        <v>104464.94</v>
      </c>
      <c r="Z25" s="2" t="s">
        <v>3741</v>
      </c>
      <c r="AA25" s="48"/>
      <c r="AB25" s="9"/>
      <c r="AC25" s="13"/>
      <c r="AD25" s="13"/>
      <c r="AE25" s="13"/>
      <c r="AF25" s="13"/>
      <c r="AG25" s="43"/>
      <c r="AH25" s="43"/>
      <c r="AI25" s="2"/>
      <c r="AJ25" s="1"/>
      <c r="AK25" s="1"/>
      <c r="AL25" s="1"/>
      <c r="AM25" s="44">
        <f>AG25*AI25*AJ25*AK25</f>
        <v>0</v>
      </c>
      <c r="AN25" s="45">
        <f>AH25*AI25*AJ25*AL25</f>
        <v>0</v>
      </c>
      <c r="AO25" s="46"/>
      <c r="AQ25" s="98"/>
      <c r="AR25" s="98"/>
    </row>
    <row r="26" spans="1:44" ht="33" customHeight="1">
      <c r="A26" s="10">
        <v>24</v>
      </c>
      <c r="B26" s="1" t="s">
        <v>3</v>
      </c>
      <c r="C26" s="1" t="s">
        <v>3</v>
      </c>
      <c r="D26" s="1">
        <v>1</v>
      </c>
      <c r="E26" s="1" t="s">
        <v>153</v>
      </c>
      <c r="F26" s="1" t="s">
        <v>154</v>
      </c>
      <c r="G26" s="2" t="s">
        <v>2437</v>
      </c>
      <c r="H26" s="1" t="s">
        <v>4166</v>
      </c>
      <c r="I26" s="19" t="s">
        <v>4127</v>
      </c>
      <c r="J26" s="58">
        <v>29104391</v>
      </c>
      <c r="K26" s="19" t="s">
        <v>2438</v>
      </c>
      <c r="L26" s="19">
        <v>3447000</v>
      </c>
      <c r="M26" s="19" t="s">
        <v>3735</v>
      </c>
      <c r="N26" s="19" t="s">
        <v>4181</v>
      </c>
      <c r="O26" s="19">
        <v>3428</v>
      </c>
      <c r="P26" s="59">
        <v>43073</v>
      </c>
      <c r="Q26" s="59">
        <v>46724</v>
      </c>
      <c r="R26" s="19" t="s">
        <v>2440</v>
      </c>
      <c r="S26" s="1" t="s">
        <v>2442</v>
      </c>
      <c r="T26" s="1" t="s">
        <v>2443</v>
      </c>
      <c r="U26" s="9" t="s">
        <v>155</v>
      </c>
      <c r="V26" s="9" t="s">
        <v>156</v>
      </c>
      <c r="W26" s="9">
        <v>2560</v>
      </c>
      <c r="X26" s="60">
        <v>115876.64</v>
      </c>
      <c r="Y26" s="60">
        <v>104452.82</v>
      </c>
      <c r="Z26" s="2" t="s">
        <v>3744</v>
      </c>
      <c r="AA26" s="47">
        <v>43770</v>
      </c>
      <c r="AB26" s="9" t="s">
        <v>2410</v>
      </c>
      <c r="AC26" s="13">
        <v>14</v>
      </c>
      <c r="AD26" s="13">
        <v>11</v>
      </c>
      <c r="AE26" s="49">
        <v>2.728</v>
      </c>
      <c r="AF26" s="13">
        <v>24</v>
      </c>
      <c r="AG26" s="43">
        <f>AE26*AC26*AF26*0.0036</f>
        <v>3.2997887999999995</v>
      </c>
      <c r="AH26" s="43">
        <f>AE26*AD26*AF26*0.0036</f>
        <v>2.5926912</v>
      </c>
      <c r="AI26" s="2">
        <v>30</v>
      </c>
      <c r="AJ26" s="1">
        <v>12</v>
      </c>
      <c r="AK26" s="1">
        <v>0.72</v>
      </c>
      <c r="AL26" s="1">
        <v>0.76</v>
      </c>
      <c r="AM26" s="117">
        <f>AG26*AI26*AJ26*AK26</f>
        <v>855.3052569599998</v>
      </c>
      <c r="AN26" s="118">
        <f>AH26*AI26*AJ26*AL26</f>
        <v>709.36031232</v>
      </c>
      <c r="AO26" s="2" t="s">
        <v>2405</v>
      </c>
      <c r="AQ26" s="98"/>
      <c r="AR26" s="98"/>
    </row>
    <row r="27" spans="1:44" ht="62.25" customHeight="1">
      <c r="A27" s="10">
        <v>25</v>
      </c>
      <c r="B27" s="1" t="s">
        <v>3</v>
      </c>
      <c r="C27" s="1" t="s">
        <v>3</v>
      </c>
      <c r="D27" s="1">
        <v>1</v>
      </c>
      <c r="E27" s="1" t="s">
        <v>157</v>
      </c>
      <c r="F27" s="1" t="s">
        <v>158</v>
      </c>
      <c r="G27" s="2" t="s">
        <v>2437</v>
      </c>
      <c r="H27" s="1" t="s">
        <v>4166</v>
      </c>
      <c r="I27" s="19" t="s">
        <v>4127</v>
      </c>
      <c r="J27" s="58">
        <v>29104391</v>
      </c>
      <c r="K27" s="19" t="s">
        <v>2438</v>
      </c>
      <c r="L27" s="19">
        <v>3447000</v>
      </c>
      <c r="M27" s="19" t="s">
        <v>3735</v>
      </c>
      <c r="N27" s="19" t="s">
        <v>4181</v>
      </c>
      <c r="O27" s="19">
        <v>3428</v>
      </c>
      <c r="P27" s="59">
        <v>43073</v>
      </c>
      <c r="Q27" s="59">
        <v>46724</v>
      </c>
      <c r="R27" s="19" t="s">
        <v>2440</v>
      </c>
      <c r="S27" s="1" t="s">
        <v>2441</v>
      </c>
      <c r="T27" s="1" t="s">
        <v>2443</v>
      </c>
      <c r="U27" s="9" t="s">
        <v>2588</v>
      </c>
      <c r="V27" s="9" t="s">
        <v>159</v>
      </c>
      <c r="W27" s="9">
        <v>2559</v>
      </c>
      <c r="X27" s="60">
        <v>116121.12</v>
      </c>
      <c r="Y27" s="60">
        <v>104542.65</v>
      </c>
      <c r="Z27" s="2" t="s">
        <v>3948</v>
      </c>
      <c r="AA27" s="47">
        <v>43774</v>
      </c>
      <c r="AB27" s="52">
        <v>0.48194444444444445</v>
      </c>
      <c r="AC27" s="13"/>
      <c r="AD27" s="13"/>
      <c r="AE27" s="49"/>
      <c r="AF27" s="13"/>
      <c r="AG27" s="43"/>
      <c r="AH27" s="43"/>
      <c r="AI27" s="2"/>
      <c r="AJ27" s="1"/>
      <c r="AK27" s="1"/>
      <c r="AL27" s="1"/>
      <c r="AM27" s="117">
        <v>0</v>
      </c>
      <c r="AN27" s="118">
        <v>0</v>
      </c>
      <c r="AO27" s="2" t="s">
        <v>2405</v>
      </c>
      <c r="AQ27" s="98"/>
      <c r="AR27" s="98"/>
    </row>
    <row r="28" spans="1:44" ht="72.75" customHeight="1">
      <c r="A28" s="10">
        <v>26</v>
      </c>
      <c r="B28" s="1" t="s">
        <v>3</v>
      </c>
      <c r="C28" s="1" t="s">
        <v>3</v>
      </c>
      <c r="D28" s="1">
        <v>1</v>
      </c>
      <c r="E28" s="1" t="s">
        <v>163</v>
      </c>
      <c r="F28" s="1" t="s">
        <v>164</v>
      </c>
      <c r="G28" s="2" t="s">
        <v>2437</v>
      </c>
      <c r="H28" s="1" t="s">
        <v>4166</v>
      </c>
      <c r="I28" s="19" t="s">
        <v>4127</v>
      </c>
      <c r="J28" s="58">
        <v>29104391</v>
      </c>
      <c r="K28" s="19" t="s">
        <v>2438</v>
      </c>
      <c r="L28" s="19">
        <v>3447000</v>
      </c>
      <c r="M28" s="19" t="s">
        <v>3735</v>
      </c>
      <c r="N28" s="19" t="s">
        <v>4181</v>
      </c>
      <c r="O28" s="19">
        <v>3428</v>
      </c>
      <c r="P28" s="59">
        <v>43073</v>
      </c>
      <c r="Q28" s="59">
        <v>46724</v>
      </c>
      <c r="R28" s="19" t="s">
        <v>2440</v>
      </c>
      <c r="S28" s="1" t="s">
        <v>2441</v>
      </c>
      <c r="T28" s="29" t="s">
        <v>2443</v>
      </c>
      <c r="U28" s="2" t="s">
        <v>51</v>
      </c>
      <c r="V28" s="2" t="s">
        <v>2609</v>
      </c>
      <c r="W28" s="2">
        <v>2558</v>
      </c>
      <c r="X28" s="2">
        <v>116144.48</v>
      </c>
      <c r="Y28" s="2">
        <v>104534.01</v>
      </c>
      <c r="Z28" s="2" t="s">
        <v>3746</v>
      </c>
      <c r="AA28" s="47">
        <v>42648</v>
      </c>
      <c r="AB28" s="50">
        <v>0.5555555555555556</v>
      </c>
      <c r="AC28" s="122"/>
      <c r="AD28" s="122"/>
      <c r="AE28" s="122"/>
      <c r="AF28" s="122"/>
      <c r="AG28" s="122"/>
      <c r="AH28" s="122"/>
      <c r="AI28" s="122"/>
      <c r="AJ28" s="122"/>
      <c r="AK28" s="122"/>
      <c r="AL28" s="122"/>
      <c r="AM28" s="117">
        <f>AG28*AI28*AJ28*AK28</f>
        <v>0</v>
      </c>
      <c r="AN28" s="118">
        <f>AH28*AI28*AJ28*AL28</f>
        <v>0</v>
      </c>
      <c r="AO28" s="2" t="s">
        <v>2405</v>
      </c>
      <c r="AQ28" s="98"/>
      <c r="AR28" s="98"/>
    </row>
    <row r="29" spans="1:44" ht="44.25" customHeight="1">
      <c r="A29" s="10">
        <v>27</v>
      </c>
      <c r="B29" s="1" t="s">
        <v>3</v>
      </c>
      <c r="C29" s="1" t="s">
        <v>3</v>
      </c>
      <c r="D29" s="1">
        <v>1</v>
      </c>
      <c r="E29" s="1" t="s">
        <v>160</v>
      </c>
      <c r="F29" s="1" t="s">
        <v>161</v>
      </c>
      <c r="G29" s="2" t="s">
        <v>2437</v>
      </c>
      <c r="H29" s="1" t="s">
        <v>4166</v>
      </c>
      <c r="I29" s="19" t="s">
        <v>4127</v>
      </c>
      <c r="J29" s="58">
        <v>29104391</v>
      </c>
      <c r="K29" s="19" t="s">
        <v>2438</v>
      </c>
      <c r="L29" s="19">
        <v>3447000</v>
      </c>
      <c r="M29" s="19" t="s">
        <v>3735</v>
      </c>
      <c r="N29" s="19" t="s">
        <v>4181</v>
      </c>
      <c r="O29" s="19">
        <v>3428</v>
      </c>
      <c r="P29" s="59">
        <v>43073</v>
      </c>
      <c r="Q29" s="59">
        <v>46724</v>
      </c>
      <c r="R29" s="19" t="s">
        <v>2440</v>
      </c>
      <c r="S29" s="1" t="s">
        <v>2442</v>
      </c>
      <c r="T29" s="1" t="s">
        <v>2443</v>
      </c>
      <c r="U29" s="9" t="s">
        <v>2589</v>
      </c>
      <c r="V29" s="9" t="s">
        <v>162</v>
      </c>
      <c r="W29" s="9">
        <v>2558</v>
      </c>
      <c r="X29" s="60">
        <v>116140.28</v>
      </c>
      <c r="Y29" s="60">
        <v>104523.61</v>
      </c>
      <c r="Z29" s="2" t="s">
        <v>3744</v>
      </c>
      <c r="AA29" s="47">
        <v>43774</v>
      </c>
      <c r="AB29" s="9" t="s">
        <v>3747</v>
      </c>
      <c r="AC29" s="13">
        <v>23</v>
      </c>
      <c r="AD29" s="13">
        <v>11</v>
      </c>
      <c r="AE29" s="49">
        <v>0.29</v>
      </c>
      <c r="AF29" s="13">
        <v>24</v>
      </c>
      <c r="AG29" s="43">
        <f>AE29*AC29*AF29*0.0036</f>
        <v>0.5762879999999999</v>
      </c>
      <c r="AH29" s="43">
        <f>AE29*AD29*AF29*0.0036</f>
        <v>0.275616</v>
      </c>
      <c r="AI29" s="2">
        <v>30</v>
      </c>
      <c r="AJ29" s="1">
        <v>12</v>
      </c>
      <c r="AK29" s="1">
        <v>0.72</v>
      </c>
      <c r="AL29" s="1">
        <v>0.73</v>
      </c>
      <c r="AM29" s="117">
        <f>AG29*AI29*AJ29*AK29</f>
        <v>149.37384959999997</v>
      </c>
      <c r="AN29" s="118">
        <f>AH29*AI29*AJ29*AL29</f>
        <v>72.4318848</v>
      </c>
      <c r="AO29" s="2" t="s">
        <v>2405</v>
      </c>
      <c r="AQ29" s="98"/>
      <c r="AR29" s="98"/>
    </row>
    <row r="30" spans="1:44" ht="44.25" customHeight="1">
      <c r="A30" s="10">
        <v>28</v>
      </c>
      <c r="B30" s="1" t="s">
        <v>3</v>
      </c>
      <c r="C30" s="1" t="s">
        <v>3</v>
      </c>
      <c r="D30" s="1">
        <v>1</v>
      </c>
      <c r="E30" s="1" t="s">
        <v>165</v>
      </c>
      <c r="F30" s="1" t="s">
        <v>166</v>
      </c>
      <c r="G30" s="2" t="s">
        <v>2437</v>
      </c>
      <c r="H30" s="1" t="s">
        <v>4166</v>
      </c>
      <c r="I30" s="19" t="s">
        <v>4127</v>
      </c>
      <c r="J30" s="58">
        <v>29104391</v>
      </c>
      <c r="K30" s="19" t="s">
        <v>2438</v>
      </c>
      <c r="L30" s="19">
        <v>3447000</v>
      </c>
      <c r="M30" s="19" t="s">
        <v>3735</v>
      </c>
      <c r="N30" s="19" t="s">
        <v>4181</v>
      </c>
      <c r="O30" s="19">
        <v>3428</v>
      </c>
      <c r="P30" s="59">
        <v>43073</v>
      </c>
      <c r="Q30" s="59">
        <v>46724</v>
      </c>
      <c r="R30" s="19" t="s">
        <v>2440</v>
      </c>
      <c r="S30" s="1" t="s">
        <v>2442</v>
      </c>
      <c r="T30" s="1" t="s">
        <v>2443</v>
      </c>
      <c r="U30" s="9" t="s">
        <v>2590</v>
      </c>
      <c r="V30" s="9" t="s">
        <v>167</v>
      </c>
      <c r="W30" s="9">
        <v>2557</v>
      </c>
      <c r="X30" s="60">
        <v>116226.92</v>
      </c>
      <c r="Y30" s="60">
        <v>104537.69</v>
      </c>
      <c r="Z30" s="2" t="s">
        <v>3744</v>
      </c>
      <c r="AA30" s="47">
        <v>43782</v>
      </c>
      <c r="AB30" s="9" t="s">
        <v>2458</v>
      </c>
      <c r="AC30" s="13">
        <v>7</v>
      </c>
      <c r="AD30" s="13">
        <v>15</v>
      </c>
      <c r="AE30" s="49">
        <v>3.032</v>
      </c>
      <c r="AF30" s="13">
        <v>24</v>
      </c>
      <c r="AG30" s="43">
        <f>AE30*AC30*AF30*0.0036</f>
        <v>1.8337535999999999</v>
      </c>
      <c r="AH30" s="43">
        <f>AE30*AD30*AF30*0.0036</f>
        <v>3.9294719999999996</v>
      </c>
      <c r="AI30" s="2">
        <v>30</v>
      </c>
      <c r="AJ30" s="1">
        <v>12</v>
      </c>
      <c r="AK30" s="1">
        <v>0.61</v>
      </c>
      <c r="AL30" s="1">
        <v>0.68</v>
      </c>
      <c r="AM30" s="117">
        <f>AG30*AI30*AJ30*AK30</f>
        <v>402.69229055999995</v>
      </c>
      <c r="AN30" s="118">
        <f>AH30*AI30*AJ30*AL30</f>
        <v>961.9347455999999</v>
      </c>
      <c r="AO30" s="2" t="s">
        <v>2405</v>
      </c>
      <c r="AQ30" s="98"/>
      <c r="AR30" s="98"/>
    </row>
    <row r="31" spans="1:44" ht="61.5" customHeight="1">
      <c r="A31" s="10">
        <v>29</v>
      </c>
      <c r="B31" s="1" t="s">
        <v>3</v>
      </c>
      <c r="C31" s="1" t="s">
        <v>3</v>
      </c>
      <c r="D31" s="1">
        <v>1</v>
      </c>
      <c r="E31" s="1" t="s">
        <v>168</v>
      </c>
      <c r="F31" s="1" t="s">
        <v>166</v>
      </c>
      <c r="G31" s="2" t="s">
        <v>2437</v>
      </c>
      <c r="H31" s="1" t="s">
        <v>4166</v>
      </c>
      <c r="I31" s="19" t="s">
        <v>4127</v>
      </c>
      <c r="J31" s="58">
        <v>29104391</v>
      </c>
      <c r="K31" s="19" t="s">
        <v>2438</v>
      </c>
      <c r="L31" s="19">
        <v>3447000</v>
      </c>
      <c r="M31" s="19" t="s">
        <v>3735</v>
      </c>
      <c r="N31" s="19" t="s">
        <v>4181</v>
      </c>
      <c r="O31" s="19">
        <v>3428</v>
      </c>
      <c r="P31" s="59">
        <v>43073</v>
      </c>
      <c r="Q31" s="59">
        <v>46724</v>
      </c>
      <c r="R31" s="19" t="s">
        <v>2440</v>
      </c>
      <c r="S31" s="1" t="s">
        <v>2441</v>
      </c>
      <c r="T31" s="1" t="s">
        <v>2443</v>
      </c>
      <c r="U31" s="9" t="s">
        <v>2591</v>
      </c>
      <c r="V31" s="9" t="s">
        <v>2610</v>
      </c>
      <c r="W31" s="9">
        <v>2557</v>
      </c>
      <c r="X31" s="60">
        <v>116217.94</v>
      </c>
      <c r="Y31" s="60">
        <v>104562.97</v>
      </c>
      <c r="Z31" s="2" t="s">
        <v>4031</v>
      </c>
      <c r="AA31" s="47">
        <v>43782</v>
      </c>
      <c r="AB31" s="52">
        <v>0.4159722222222222</v>
      </c>
      <c r="AC31" s="13"/>
      <c r="AD31" s="13"/>
      <c r="AE31" s="49"/>
      <c r="AF31" s="13"/>
      <c r="AG31" s="43"/>
      <c r="AH31" s="43"/>
      <c r="AI31" s="2"/>
      <c r="AJ31" s="1"/>
      <c r="AK31" s="1"/>
      <c r="AL31" s="1"/>
      <c r="AM31" s="117">
        <v>3635.9530658174117</v>
      </c>
      <c r="AN31" s="118">
        <v>2220.3897943093993</v>
      </c>
      <c r="AO31" s="2" t="s">
        <v>2405</v>
      </c>
      <c r="AQ31" s="98"/>
      <c r="AR31" s="98"/>
    </row>
    <row r="32" spans="1:44" ht="69" customHeight="1">
      <c r="A32" s="10">
        <v>30</v>
      </c>
      <c r="B32" s="1" t="s">
        <v>3</v>
      </c>
      <c r="C32" s="1" t="s">
        <v>3</v>
      </c>
      <c r="D32" s="1">
        <v>1</v>
      </c>
      <c r="E32" s="1" t="s">
        <v>172</v>
      </c>
      <c r="F32" s="1" t="s">
        <v>173</v>
      </c>
      <c r="G32" s="2" t="s">
        <v>2437</v>
      </c>
      <c r="H32" s="1" t="s">
        <v>4166</v>
      </c>
      <c r="I32" s="19" t="s">
        <v>4127</v>
      </c>
      <c r="J32" s="58">
        <v>29104391</v>
      </c>
      <c r="K32" s="19" t="s">
        <v>2438</v>
      </c>
      <c r="L32" s="19">
        <v>3447000</v>
      </c>
      <c r="M32" s="19" t="s">
        <v>3735</v>
      </c>
      <c r="N32" s="19" t="s">
        <v>4181</v>
      </c>
      <c r="O32" s="19">
        <v>3428</v>
      </c>
      <c r="P32" s="59">
        <v>43073</v>
      </c>
      <c r="Q32" s="59">
        <v>46724</v>
      </c>
      <c r="R32" s="19" t="s">
        <v>2440</v>
      </c>
      <c r="S32" s="1" t="s">
        <v>2442</v>
      </c>
      <c r="T32" s="29" t="s">
        <v>2443</v>
      </c>
      <c r="U32" s="2" t="s">
        <v>52</v>
      </c>
      <c r="V32" s="2" t="s">
        <v>2611</v>
      </c>
      <c r="W32" s="2">
        <v>2558</v>
      </c>
      <c r="X32" s="2">
        <v>116279.38</v>
      </c>
      <c r="Y32" s="2">
        <v>104522.58</v>
      </c>
      <c r="Z32" s="2" t="s">
        <v>3748</v>
      </c>
      <c r="AA32" s="47">
        <v>43782</v>
      </c>
      <c r="AB32" s="52">
        <v>0.40972222222222227</v>
      </c>
      <c r="AC32" s="122"/>
      <c r="AD32" s="122"/>
      <c r="AE32" s="122"/>
      <c r="AF32" s="122"/>
      <c r="AG32" s="122"/>
      <c r="AH32" s="122"/>
      <c r="AI32" s="122"/>
      <c r="AJ32" s="122"/>
      <c r="AK32" s="122"/>
      <c r="AL32" s="122"/>
      <c r="AM32" s="117">
        <f>AG32*AI32*AJ32*AK32</f>
        <v>0</v>
      </c>
      <c r="AN32" s="118">
        <f>AH32*AI32*AJ32*AL32</f>
        <v>0</v>
      </c>
      <c r="AO32" s="2" t="s">
        <v>2405</v>
      </c>
      <c r="AQ32" s="98"/>
      <c r="AR32" s="98"/>
    </row>
    <row r="33" spans="1:44" ht="25.5">
      <c r="A33" s="10">
        <v>31</v>
      </c>
      <c r="B33" s="1" t="s">
        <v>3</v>
      </c>
      <c r="C33" s="1" t="s">
        <v>3</v>
      </c>
      <c r="D33" s="1">
        <v>1</v>
      </c>
      <c r="E33" s="1" t="s">
        <v>169</v>
      </c>
      <c r="F33" s="1" t="s">
        <v>170</v>
      </c>
      <c r="G33" s="2" t="s">
        <v>2437</v>
      </c>
      <c r="H33" s="1" t="s">
        <v>4166</v>
      </c>
      <c r="I33" s="19" t="s">
        <v>4127</v>
      </c>
      <c r="J33" s="58">
        <v>29104391</v>
      </c>
      <c r="K33" s="19" t="s">
        <v>2438</v>
      </c>
      <c r="L33" s="19">
        <v>3447000</v>
      </c>
      <c r="M33" s="19" t="s">
        <v>3735</v>
      </c>
      <c r="N33" s="19" t="s">
        <v>4181</v>
      </c>
      <c r="O33" s="19">
        <v>3428</v>
      </c>
      <c r="P33" s="59">
        <v>43073</v>
      </c>
      <c r="Q33" s="59">
        <v>46724</v>
      </c>
      <c r="R33" s="19" t="s">
        <v>2440</v>
      </c>
      <c r="S33" s="1" t="s">
        <v>2442</v>
      </c>
      <c r="T33" s="1" t="s">
        <v>2444</v>
      </c>
      <c r="U33" s="9" t="s">
        <v>2592</v>
      </c>
      <c r="V33" s="9" t="s">
        <v>171</v>
      </c>
      <c r="W33" s="9">
        <v>2556</v>
      </c>
      <c r="X33" s="60">
        <v>116470.21</v>
      </c>
      <c r="Y33" s="60">
        <v>104507.45</v>
      </c>
      <c r="Z33" s="2" t="s">
        <v>3741</v>
      </c>
      <c r="AA33" s="48"/>
      <c r="AB33" s="9"/>
      <c r="AC33" s="13"/>
      <c r="AD33" s="13"/>
      <c r="AE33" s="13"/>
      <c r="AF33" s="13"/>
      <c r="AG33" s="43"/>
      <c r="AH33" s="43"/>
      <c r="AI33" s="2"/>
      <c r="AJ33" s="1"/>
      <c r="AK33" s="1"/>
      <c r="AL33" s="1"/>
      <c r="AM33" s="44">
        <f>AG33*AI33*AJ33*AK33</f>
        <v>0</v>
      </c>
      <c r="AN33" s="45">
        <f>AH33*AI33*AJ33*AL33</f>
        <v>0</v>
      </c>
      <c r="AO33" s="2" t="s">
        <v>2405</v>
      </c>
      <c r="AQ33" s="98"/>
      <c r="AR33" s="98"/>
    </row>
    <row r="34" spans="1:44" ht="41.25" customHeight="1">
      <c r="A34" s="10">
        <v>32</v>
      </c>
      <c r="B34" s="1" t="s">
        <v>3</v>
      </c>
      <c r="C34" s="1" t="s">
        <v>3</v>
      </c>
      <c r="D34" s="1">
        <v>1</v>
      </c>
      <c r="E34" s="1" t="s">
        <v>174</v>
      </c>
      <c r="F34" s="1" t="s">
        <v>175</v>
      </c>
      <c r="G34" s="2" t="s">
        <v>2437</v>
      </c>
      <c r="H34" s="1" t="s">
        <v>4166</v>
      </c>
      <c r="I34" s="19" t="s">
        <v>4127</v>
      </c>
      <c r="J34" s="58">
        <v>29104391</v>
      </c>
      <c r="K34" s="19" t="s">
        <v>2438</v>
      </c>
      <c r="L34" s="19">
        <v>3447000</v>
      </c>
      <c r="M34" s="19" t="s">
        <v>3735</v>
      </c>
      <c r="N34" s="19" t="s">
        <v>4181</v>
      </c>
      <c r="O34" s="19">
        <v>3428</v>
      </c>
      <c r="P34" s="59">
        <v>43073</v>
      </c>
      <c r="Q34" s="59">
        <v>46724</v>
      </c>
      <c r="R34" s="19" t="s">
        <v>2440</v>
      </c>
      <c r="S34" s="1" t="s">
        <v>2442</v>
      </c>
      <c r="T34" s="1" t="s">
        <v>2444</v>
      </c>
      <c r="U34" s="9" t="s">
        <v>2593</v>
      </c>
      <c r="V34" s="9" t="s">
        <v>176</v>
      </c>
      <c r="W34" s="9">
        <v>2558</v>
      </c>
      <c r="X34" s="60">
        <v>116564.85</v>
      </c>
      <c r="Y34" s="60">
        <v>104488.93</v>
      </c>
      <c r="Z34" s="2" t="s">
        <v>3744</v>
      </c>
      <c r="AA34" s="47">
        <v>43781</v>
      </c>
      <c r="AB34" s="9" t="s">
        <v>2496</v>
      </c>
      <c r="AC34" s="13">
        <v>14</v>
      </c>
      <c r="AD34" s="13">
        <v>8</v>
      </c>
      <c r="AE34" s="49">
        <v>1.213</v>
      </c>
      <c r="AF34" s="13">
        <v>24</v>
      </c>
      <c r="AG34" s="43">
        <f>AE34*AC34*AF34*0.0036</f>
        <v>1.4672447999999998</v>
      </c>
      <c r="AH34" s="43">
        <f>AE34*AD34*AF34*0.0036</f>
        <v>0.8384256</v>
      </c>
      <c r="AI34" s="2">
        <v>30</v>
      </c>
      <c r="AJ34" s="1">
        <v>12</v>
      </c>
      <c r="AK34" s="1">
        <v>0.75</v>
      </c>
      <c r="AL34" s="1">
        <v>0.82</v>
      </c>
      <c r="AM34" s="117">
        <f>AG34*AI34*AJ34*AK34</f>
        <v>396.156096</v>
      </c>
      <c r="AN34" s="118">
        <f>AH34*AI34*AJ34*AL34</f>
        <v>247.50323711999997</v>
      </c>
      <c r="AO34" s="2" t="s">
        <v>2405</v>
      </c>
      <c r="AQ34" s="98"/>
      <c r="AR34" s="98"/>
    </row>
    <row r="35" spans="1:44" ht="63.75" customHeight="1">
      <c r="A35" s="10">
        <v>33</v>
      </c>
      <c r="B35" s="1" t="s">
        <v>3</v>
      </c>
      <c r="C35" s="1" t="s">
        <v>3</v>
      </c>
      <c r="D35" s="1">
        <v>1</v>
      </c>
      <c r="E35" s="1" t="s">
        <v>177</v>
      </c>
      <c r="F35" s="1" t="s">
        <v>178</v>
      </c>
      <c r="G35" s="2" t="s">
        <v>2437</v>
      </c>
      <c r="H35" s="1" t="s">
        <v>4166</v>
      </c>
      <c r="I35" s="19" t="s">
        <v>4127</v>
      </c>
      <c r="J35" s="58">
        <v>29104391</v>
      </c>
      <c r="K35" s="19" t="s">
        <v>2438</v>
      </c>
      <c r="L35" s="19">
        <v>3447000</v>
      </c>
      <c r="M35" s="19" t="s">
        <v>3735</v>
      </c>
      <c r="N35" s="19" t="s">
        <v>4181</v>
      </c>
      <c r="O35" s="19">
        <v>3428</v>
      </c>
      <c r="P35" s="59">
        <v>43073</v>
      </c>
      <c r="Q35" s="59">
        <v>46724</v>
      </c>
      <c r="R35" s="19" t="s">
        <v>2440</v>
      </c>
      <c r="S35" s="1" t="s">
        <v>2441</v>
      </c>
      <c r="T35" s="1" t="s">
        <v>2443</v>
      </c>
      <c r="U35" s="9" t="s">
        <v>2594</v>
      </c>
      <c r="V35" s="9" t="s">
        <v>2612</v>
      </c>
      <c r="W35" s="9">
        <v>2558</v>
      </c>
      <c r="X35" s="60">
        <v>116699.44</v>
      </c>
      <c r="Y35" s="60">
        <v>104474.42</v>
      </c>
      <c r="Z35" s="2" t="s">
        <v>4031</v>
      </c>
      <c r="AA35" s="47">
        <v>43781</v>
      </c>
      <c r="AB35" s="52">
        <v>0.5499999999999999</v>
      </c>
      <c r="AC35" s="122"/>
      <c r="AD35" s="122"/>
      <c r="AE35" s="122"/>
      <c r="AF35" s="122"/>
      <c r="AG35" s="122"/>
      <c r="AH35" s="122"/>
      <c r="AI35" s="122"/>
      <c r="AJ35" s="122"/>
      <c r="AK35" s="122"/>
      <c r="AL35" s="122"/>
      <c r="AM35" s="117">
        <v>49.96418571413169</v>
      </c>
      <c r="AN35" s="118">
        <v>122.61085741145702</v>
      </c>
      <c r="AO35" s="2" t="s">
        <v>2405</v>
      </c>
      <c r="AQ35" s="98"/>
      <c r="AR35" s="98"/>
    </row>
    <row r="36" spans="1:44" ht="25.5">
      <c r="A36" s="10">
        <v>34</v>
      </c>
      <c r="B36" s="1" t="s">
        <v>3</v>
      </c>
      <c r="C36" s="1" t="s">
        <v>3</v>
      </c>
      <c r="D36" s="1">
        <v>1</v>
      </c>
      <c r="E36" s="1" t="s">
        <v>179</v>
      </c>
      <c r="F36" s="1" t="s">
        <v>178</v>
      </c>
      <c r="G36" s="2" t="s">
        <v>2437</v>
      </c>
      <c r="H36" s="1" t="s">
        <v>4166</v>
      </c>
      <c r="I36" s="19" t="s">
        <v>4127</v>
      </c>
      <c r="J36" s="58">
        <v>29104391</v>
      </c>
      <c r="K36" s="19" t="s">
        <v>2438</v>
      </c>
      <c r="L36" s="19">
        <v>3447000</v>
      </c>
      <c r="M36" s="19" t="s">
        <v>3735</v>
      </c>
      <c r="N36" s="19" t="s">
        <v>4181</v>
      </c>
      <c r="O36" s="19">
        <v>3428</v>
      </c>
      <c r="P36" s="59">
        <v>43073</v>
      </c>
      <c r="Q36" s="59">
        <v>46724</v>
      </c>
      <c r="R36" s="19" t="s">
        <v>2440</v>
      </c>
      <c r="S36" s="1" t="s">
        <v>2442</v>
      </c>
      <c r="T36" s="1" t="s">
        <v>2443</v>
      </c>
      <c r="U36" s="9" t="s">
        <v>2595</v>
      </c>
      <c r="V36" s="9" t="s">
        <v>180</v>
      </c>
      <c r="W36" s="9">
        <v>2558</v>
      </c>
      <c r="X36" s="60">
        <v>116717.57</v>
      </c>
      <c r="Y36" s="60">
        <v>104458.39</v>
      </c>
      <c r="Z36" s="2" t="s">
        <v>3741</v>
      </c>
      <c r="AA36" s="48"/>
      <c r="AB36" s="9"/>
      <c r="AC36" s="13"/>
      <c r="AD36" s="13"/>
      <c r="AE36" s="13"/>
      <c r="AF36" s="13"/>
      <c r="AG36" s="43"/>
      <c r="AH36" s="43"/>
      <c r="AI36" s="2"/>
      <c r="AJ36" s="1"/>
      <c r="AK36" s="1"/>
      <c r="AL36" s="1"/>
      <c r="AM36" s="44">
        <f>AG36*AI36*AJ36*AK36</f>
        <v>0</v>
      </c>
      <c r="AN36" s="45">
        <f>AH36*AI36*AJ36*AL36</f>
        <v>0</v>
      </c>
      <c r="AO36" s="2" t="s">
        <v>2405</v>
      </c>
      <c r="AQ36" s="98"/>
      <c r="AR36" s="98"/>
    </row>
    <row r="37" spans="1:44" ht="25.5">
      <c r="A37" s="10">
        <v>35</v>
      </c>
      <c r="B37" s="1" t="s">
        <v>3</v>
      </c>
      <c r="C37" s="1" t="s">
        <v>3</v>
      </c>
      <c r="D37" s="1">
        <v>1</v>
      </c>
      <c r="E37" s="1" t="s">
        <v>181</v>
      </c>
      <c r="F37" s="1" t="s">
        <v>178</v>
      </c>
      <c r="G37" s="2" t="s">
        <v>2437</v>
      </c>
      <c r="H37" s="1" t="s">
        <v>4166</v>
      </c>
      <c r="I37" s="19" t="s">
        <v>4127</v>
      </c>
      <c r="J37" s="58">
        <v>29104391</v>
      </c>
      <c r="K37" s="19" t="s">
        <v>2438</v>
      </c>
      <c r="L37" s="19">
        <v>3447000</v>
      </c>
      <c r="M37" s="19" t="s">
        <v>3735</v>
      </c>
      <c r="N37" s="19" t="s">
        <v>4181</v>
      </c>
      <c r="O37" s="19">
        <v>3428</v>
      </c>
      <c r="P37" s="59">
        <v>43073</v>
      </c>
      <c r="Q37" s="59">
        <v>46724</v>
      </c>
      <c r="R37" s="19" t="s">
        <v>2440</v>
      </c>
      <c r="S37" s="1" t="s">
        <v>2442</v>
      </c>
      <c r="T37" s="1" t="s">
        <v>2443</v>
      </c>
      <c r="U37" s="9" t="s">
        <v>2596</v>
      </c>
      <c r="V37" s="9" t="s">
        <v>182</v>
      </c>
      <c r="W37" s="9">
        <v>2558</v>
      </c>
      <c r="X37" s="60">
        <v>116722.49</v>
      </c>
      <c r="Y37" s="60">
        <v>104458.08</v>
      </c>
      <c r="Z37" s="2" t="s">
        <v>3741</v>
      </c>
      <c r="AA37" s="48"/>
      <c r="AB37" s="9"/>
      <c r="AC37" s="13"/>
      <c r="AD37" s="13"/>
      <c r="AE37" s="13"/>
      <c r="AF37" s="13"/>
      <c r="AG37" s="43"/>
      <c r="AH37" s="43"/>
      <c r="AI37" s="2"/>
      <c r="AJ37" s="1"/>
      <c r="AK37" s="1"/>
      <c r="AL37" s="1"/>
      <c r="AM37" s="44">
        <f>AG37*AI37*AJ37*AK37</f>
        <v>0</v>
      </c>
      <c r="AN37" s="45">
        <f>AH37*AI37*AJ37*AL37</f>
        <v>0</v>
      </c>
      <c r="AO37" s="2" t="s">
        <v>2405</v>
      </c>
      <c r="AQ37" s="98"/>
      <c r="AR37" s="98"/>
    </row>
    <row r="38" spans="1:44" ht="38.25">
      <c r="A38" s="10">
        <v>36</v>
      </c>
      <c r="B38" s="1" t="s">
        <v>3</v>
      </c>
      <c r="C38" s="1" t="s">
        <v>3</v>
      </c>
      <c r="D38" s="1">
        <v>1</v>
      </c>
      <c r="E38" s="1" t="s">
        <v>183</v>
      </c>
      <c r="F38" s="1" t="s">
        <v>2231</v>
      </c>
      <c r="G38" s="2" t="s">
        <v>2437</v>
      </c>
      <c r="H38" s="1" t="s">
        <v>4166</v>
      </c>
      <c r="I38" s="19" t="s">
        <v>4127</v>
      </c>
      <c r="J38" s="58">
        <v>29104391</v>
      </c>
      <c r="K38" s="19" t="s">
        <v>2438</v>
      </c>
      <c r="L38" s="19">
        <v>3447000</v>
      </c>
      <c r="M38" s="19" t="s">
        <v>3735</v>
      </c>
      <c r="N38" s="19" t="s">
        <v>4181</v>
      </c>
      <c r="O38" s="19">
        <v>3428</v>
      </c>
      <c r="P38" s="59">
        <v>43073</v>
      </c>
      <c r="Q38" s="59">
        <v>46724</v>
      </c>
      <c r="R38" s="19" t="s">
        <v>2440</v>
      </c>
      <c r="S38" s="1" t="s">
        <v>2441</v>
      </c>
      <c r="T38" s="1" t="s">
        <v>2443</v>
      </c>
      <c r="U38" s="9" t="s">
        <v>2597</v>
      </c>
      <c r="V38" s="9" t="s">
        <v>185</v>
      </c>
      <c r="W38" s="9">
        <v>2557</v>
      </c>
      <c r="X38" s="9">
        <v>116916.08</v>
      </c>
      <c r="Y38" s="9">
        <v>104434.62</v>
      </c>
      <c r="Z38" s="2" t="s">
        <v>3741</v>
      </c>
      <c r="AA38" s="48"/>
      <c r="AB38" s="9"/>
      <c r="AC38" s="13"/>
      <c r="AD38" s="13"/>
      <c r="AE38" s="13"/>
      <c r="AF38" s="13"/>
      <c r="AG38" s="43"/>
      <c r="AH38" s="43"/>
      <c r="AI38" s="2"/>
      <c r="AJ38" s="1"/>
      <c r="AK38" s="1"/>
      <c r="AL38" s="1"/>
      <c r="AM38" s="44">
        <f>AG38*AI38*AJ38*AK38</f>
        <v>0</v>
      </c>
      <c r="AN38" s="45">
        <f>AH38*AI38*AJ38*AL38</f>
        <v>0</v>
      </c>
      <c r="AO38" s="46"/>
      <c r="AQ38" s="98"/>
      <c r="AR38" s="98"/>
    </row>
    <row r="39" spans="1:44" ht="33.75" customHeight="1">
      <c r="A39" s="10">
        <v>37</v>
      </c>
      <c r="B39" s="1" t="s">
        <v>3</v>
      </c>
      <c r="C39" s="1" t="s">
        <v>3</v>
      </c>
      <c r="D39" s="1">
        <v>1</v>
      </c>
      <c r="E39" s="1" t="s">
        <v>186</v>
      </c>
      <c r="F39" s="1" t="s">
        <v>184</v>
      </c>
      <c r="G39" s="2" t="s">
        <v>2437</v>
      </c>
      <c r="H39" s="1" t="s">
        <v>4166</v>
      </c>
      <c r="I39" s="19" t="s">
        <v>4127</v>
      </c>
      <c r="J39" s="58">
        <v>29104391</v>
      </c>
      <c r="K39" s="19" t="s">
        <v>2438</v>
      </c>
      <c r="L39" s="19">
        <v>3447000</v>
      </c>
      <c r="M39" s="19" t="s">
        <v>3735</v>
      </c>
      <c r="N39" s="19" t="s">
        <v>4181</v>
      </c>
      <c r="O39" s="19">
        <v>3428</v>
      </c>
      <c r="P39" s="59">
        <v>43073</v>
      </c>
      <c r="Q39" s="59">
        <v>46724</v>
      </c>
      <c r="R39" s="19" t="s">
        <v>2440</v>
      </c>
      <c r="S39" s="1" t="s">
        <v>2442</v>
      </c>
      <c r="T39" s="1" t="s">
        <v>2443</v>
      </c>
      <c r="U39" s="9" t="s">
        <v>2598</v>
      </c>
      <c r="V39" s="9" t="s">
        <v>187</v>
      </c>
      <c r="W39" s="9">
        <v>2557</v>
      </c>
      <c r="X39" s="60">
        <v>117462.87</v>
      </c>
      <c r="Y39" s="60">
        <v>104156.57</v>
      </c>
      <c r="Z39" s="2" t="s">
        <v>3744</v>
      </c>
      <c r="AA39" s="48">
        <v>43782</v>
      </c>
      <c r="AB39" s="9" t="s">
        <v>2479</v>
      </c>
      <c r="AC39" s="13">
        <v>22</v>
      </c>
      <c r="AD39" s="13">
        <v>8</v>
      </c>
      <c r="AE39" s="13">
        <v>3.345</v>
      </c>
      <c r="AF39" s="13">
        <v>24</v>
      </c>
      <c r="AG39" s="102">
        <f>AE39*AC39*AF39*0.0036</f>
        <v>6.358176</v>
      </c>
      <c r="AH39" s="102">
        <f>AE39*AD39*AF39*0.0036</f>
        <v>2.312064</v>
      </c>
      <c r="AI39" s="2">
        <v>30</v>
      </c>
      <c r="AJ39" s="1">
        <v>12</v>
      </c>
      <c r="AK39" s="1">
        <v>0.73</v>
      </c>
      <c r="AL39" s="1">
        <v>0.79</v>
      </c>
      <c r="AM39" s="117">
        <f>AG39*AI39*AJ39*AK39</f>
        <v>1670.9286528</v>
      </c>
      <c r="AN39" s="118">
        <f>AH39*AI39*AJ39*AL39</f>
        <v>657.5510016000001</v>
      </c>
      <c r="AO39" s="2" t="s">
        <v>2405</v>
      </c>
      <c r="AQ39" s="98"/>
      <c r="AR39" s="98"/>
    </row>
    <row r="40" spans="1:44" ht="63" customHeight="1">
      <c r="A40" s="10">
        <v>38</v>
      </c>
      <c r="B40" s="1" t="s">
        <v>3</v>
      </c>
      <c r="C40" s="1" t="s">
        <v>3</v>
      </c>
      <c r="D40" s="1">
        <v>1</v>
      </c>
      <c r="E40" s="1" t="s">
        <v>188</v>
      </c>
      <c r="F40" s="1" t="s">
        <v>184</v>
      </c>
      <c r="G40" s="2" t="s">
        <v>2437</v>
      </c>
      <c r="H40" s="1" t="s">
        <v>4166</v>
      </c>
      <c r="I40" s="19" t="s">
        <v>4127</v>
      </c>
      <c r="J40" s="58">
        <v>29104391</v>
      </c>
      <c r="K40" s="19" t="s">
        <v>2438</v>
      </c>
      <c r="L40" s="19">
        <v>3447000</v>
      </c>
      <c r="M40" s="19" t="s">
        <v>3735</v>
      </c>
      <c r="N40" s="19" t="s">
        <v>4181</v>
      </c>
      <c r="O40" s="19">
        <v>3428</v>
      </c>
      <c r="P40" s="59">
        <v>43073</v>
      </c>
      <c r="Q40" s="59">
        <v>46724</v>
      </c>
      <c r="R40" s="19" t="s">
        <v>2440</v>
      </c>
      <c r="S40" s="1" t="s">
        <v>2441</v>
      </c>
      <c r="T40" s="1" t="s">
        <v>2443</v>
      </c>
      <c r="U40" s="9" t="s">
        <v>2599</v>
      </c>
      <c r="V40" s="9" t="s">
        <v>189</v>
      </c>
      <c r="W40" s="9">
        <v>2557</v>
      </c>
      <c r="X40" s="60">
        <v>117503.58</v>
      </c>
      <c r="Y40" s="60">
        <v>104157.99</v>
      </c>
      <c r="Z40" s="2" t="s">
        <v>4031</v>
      </c>
      <c r="AA40" s="47">
        <v>43782</v>
      </c>
      <c r="AB40" s="52">
        <v>0.49374999999999997</v>
      </c>
      <c r="AC40" s="122"/>
      <c r="AD40" s="122"/>
      <c r="AE40" s="122"/>
      <c r="AF40" s="122"/>
      <c r="AG40" s="122"/>
      <c r="AH40" s="122"/>
      <c r="AI40" s="122"/>
      <c r="AJ40" s="122"/>
      <c r="AK40" s="122"/>
      <c r="AL40" s="122"/>
      <c r="AM40" s="117">
        <v>2712.3578436987327</v>
      </c>
      <c r="AN40" s="118">
        <v>2445.0825510996087</v>
      </c>
      <c r="AO40" s="2" t="s">
        <v>2405</v>
      </c>
      <c r="AQ40" s="98"/>
      <c r="AR40" s="98"/>
    </row>
    <row r="41" spans="1:44" ht="65.25" customHeight="1">
      <c r="A41" s="10">
        <v>39</v>
      </c>
      <c r="B41" s="1" t="s">
        <v>3</v>
      </c>
      <c r="C41" s="1" t="s">
        <v>3</v>
      </c>
      <c r="D41" s="1">
        <v>1</v>
      </c>
      <c r="E41" s="1" t="s">
        <v>190</v>
      </c>
      <c r="F41" s="1" t="s">
        <v>191</v>
      </c>
      <c r="G41" s="2" t="s">
        <v>2437</v>
      </c>
      <c r="H41" s="1" t="s">
        <v>4166</v>
      </c>
      <c r="I41" s="19" t="s">
        <v>4127</v>
      </c>
      <c r="J41" s="58">
        <v>29104391</v>
      </c>
      <c r="K41" s="19" t="s">
        <v>2438</v>
      </c>
      <c r="L41" s="19">
        <v>3447000</v>
      </c>
      <c r="M41" s="19" t="s">
        <v>3735</v>
      </c>
      <c r="N41" s="19" t="s">
        <v>4181</v>
      </c>
      <c r="O41" s="19">
        <v>3428</v>
      </c>
      <c r="P41" s="59">
        <v>43073</v>
      </c>
      <c r="Q41" s="59">
        <v>46724</v>
      </c>
      <c r="R41" s="19" t="s">
        <v>2440</v>
      </c>
      <c r="S41" s="1" t="s">
        <v>2442</v>
      </c>
      <c r="T41" s="1" t="s">
        <v>2443</v>
      </c>
      <c r="U41" s="9" t="s">
        <v>2600</v>
      </c>
      <c r="V41" s="9" t="s">
        <v>192</v>
      </c>
      <c r="W41" s="9">
        <v>2556</v>
      </c>
      <c r="X41" s="60">
        <v>117607.14</v>
      </c>
      <c r="Y41" s="60">
        <v>104128.07</v>
      </c>
      <c r="Z41" s="2" t="s">
        <v>4031</v>
      </c>
      <c r="AA41" s="47">
        <v>43782</v>
      </c>
      <c r="AB41" s="52">
        <v>0.5</v>
      </c>
      <c r="AC41" s="122"/>
      <c r="AD41" s="122"/>
      <c r="AE41" s="122"/>
      <c r="AF41" s="122"/>
      <c r="AG41" s="122"/>
      <c r="AH41" s="122"/>
      <c r="AI41" s="122"/>
      <c r="AJ41" s="122"/>
      <c r="AK41" s="122"/>
      <c r="AL41" s="122"/>
      <c r="AM41" s="117">
        <v>3713.291001587018</v>
      </c>
      <c r="AN41" s="118">
        <v>3128.961743369724</v>
      </c>
      <c r="AO41" s="2" t="s">
        <v>2405</v>
      </c>
      <c r="AQ41" s="98"/>
      <c r="AR41" s="98"/>
    </row>
    <row r="42" spans="1:44" ht="25.5">
      <c r="A42" s="10">
        <v>40</v>
      </c>
      <c r="B42" s="1" t="s">
        <v>3</v>
      </c>
      <c r="C42" s="1" t="s">
        <v>3</v>
      </c>
      <c r="D42" s="1">
        <v>1</v>
      </c>
      <c r="E42" s="1" t="s">
        <v>193</v>
      </c>
      <c r="F42" s="1" t="s">
        <v>216</v>
      </c>
      <c r="G42" s="2" t="s">
        <v>2437</v>
      </c>
      <c r="H42" s="1" t="s">
        <v>4166</v>
      </c>
      <c r="I42" s="19" t="s">
        <v>4127</v>
      </c>
      <c r="J42" s="58">
        <v>29104391</v>
      </c>
      <c r="K42" s="19" t="s">
        <v>2438</v>
      </c>
      <c r="L42" s="19">
        <v>3447000</v>
      </c>
      <c r="M42" s="19" t="s">
        <v>3735</v>
      </c>
      <c r="N42" s="19" t="s">
        <v>4181</v>
      </c>
      <c r="O42" s="19">
        <v>3428</v>
      </c>
      <c r="P42" s="59">
        <v>43073</v>
      </c>
      <c r="Q42" s="59">
        <v>46724</v>
      </c>
      <c r="R42" s="19" t="s">
        <v>2440</v>
      </c>
      <c r="S42" s="1" t="s">
        <v>2441</v>
      </c>
      <c r="T42" s="1" t="s">
        <v>2443</v>
      </c>
      <c r="U42" s="9" t="s">
        <v>194</v>
      </c>
      <c r="V42" s="9" t="s">
        <v>195</v>
      </c>
      <c r="W42" s="9">
        <v>2557</v>
      </c>
      <c r="X42" s="9">
        <v>117604.46</v>
      </c>
      <c r="Y42" s="9">
        <v>104161.9</v>
      </c>
      <c r="Z42" s="2" t="s">
        <v>3741</v>
      </c>
      <c r="AA42" s="48"/>
      <c r="AB42" s="9"/>
      <c r="AC42" s="13"/>
      <c r="AD42" s="13"/>
      <c r="AE42" s="13"/>
      <c r="AF42" s="13"/>
      <c r="AG42" s="43"/>
      <c r="AH42" s="43"/>
      <c r="AI42" s="2"/>
      <c r="AJ42" s="1"/>
      <c r="AK42" s="1"/>
      <c r="AL42" s="1"/>
      <c r="AM42" s="44">
        <f>AG42*AI42*AJ42*AK42</f>
        <v>0</v>
      </c>
      <c r="AN42" s="45">
        <f>AH42*AI42*AJ42*AL42</f>
        <v>0</v>
      </c>
      <c r="AO42" s="46"/>
      <c r="AQ42" s="98"/>
      <c r="AR42" s="98"/>
    </row>
    <row r="43" spans="1:44" ht="12.75">
      <c r="A43" s="10">
        <v>41</v>
      </c>
      <c r="B43" s="1" t="s">
        <v>3</v>
      </c>
      <c r="C43" s="1" t="s">
        <v>3</v>
      </c>
      <c r="D43" s="1">
        <v>1</v>
      </c>
      <c r="E43" s="1" t="s">
        <v>196</v>
      </c>
      <c r="F43" s="1" t="s">
        <v>197</v>
      </c>
      <c r="G43" s="2" t="s">
        <v>2437</v>
      </c>
      <c r="H43" s="1" t="s">
        <v>4166</v>
      </c>
      <c r="I43" s="19" t="s">
        <v>4127</v>
      </c>
      <c r="J43" s="58">
        <v>29104391</v>
      </c>
      <c r="K43" s="19" t="s">
        <v>2438</v>
      </c>
      <c r="L43" s="19">
        <v>3447000</v>
      </c>
      <c r="M43" s="19" t="s">
        <v>3735</v>
      </c>
      <c r="N43" s="19" t="s">
        <v>4181</v>
      </c>
      <c r="O43" s="19">
        <v>3428</v>
      </c>
      <c r="P43" s="59">
        <v>43073</v>
      </c>
      <c r="Q43" s="59">
        <v>46724</v>
      </c>
      <c r="R43" s="19" t="s">
        <v>2440</v>
      </c>
      <c r="S43" s="1" t="s">
        <v>2442</v>
      </c>
      <c r="T43" s="1" t="s">
        <v>2443</v>
      </c>
      <c r="U43" s="9" t="s">
        <v>2601</v>
      </c>
      <c r="V43" s="9" t="s">
        <v>198</v>
      </c>
      <c r="W43" s="9">
        <v>2554</v>
      </c>
      <c r="X43" s="60">
        <v>117802.87</v>
      </c>
      <c r="Y43" s="60">
        <v>104030.62</v>
      </c>
      <c r="Z43" s="2" t="s">
        <v>3741</v>
      </c>
      <c r="AA43" s="48"/>
      <c r="AB43" s="9"/>
      <c r="AC43" s="13"/>
      <c r="AD43" s="13"/>
      <c r="AE43" s="13"/>
      <c r="AF43" s="13"/>
      <c r="AG43" s="43"/>
      <c r="AH43" s="43"/>
      <c r="AI43" s="2"/>
      <c r="AJ43" s="1"/>
      <c r="AK43" s="1"/>
      <c r="AL43" s="1"/>
      <c r="AM43" s="44">
        <f>AG43*AI43*AJ43*AK43</f>
        <v>0</v>
      </c>
      <c r="AN43" s="45">
        <f>AH43*AI43*AJ43*AL43</f>
        <v>0</v>
      </c>
      <c r="AO43" s="2" t="s">
        <v>2405</v>
      </c>
      <c r="AQ43" s="98"/>
      <c r="AR43" s="98"/>
    </row>
    <row r="44" spans="1:44" ht="25.5">
      <c r="A44" s="10">
        <v>42</v>
      </c>
      <c r="B44" s="1" t="s">
        <v>3</v>
      </c>
      <c r="C44" s="1" t="s">
        <v>3</v>
      </c>
      <c r="D44" s="1">
        <v>1</v>
      </c>
      <c r="E44" s="1" t="s">
        <v>199</v>
      </c>
      <c r="F44" s="1" t="s">
        <v>217</v>
      </c>
      <c r="G44" s="2" t="s">
        <v>2437</v>
      </c>
      <c r="H44" s="1" t="s">
        <v>4166</v>
      </c>
      <c r="I44" s="19" t="s">
        <v>4127</v>
      </c>
      <c r="J44" s="58">
        <v>29104391</v>
      </c>
      <c r="K44" s="19" t="s">
        <v>2438</v>
      </c>
      <c r="L44" s="19">
        <v>3447000</v>
      </c>
      <c r="M44" s="19" t="s">
        <v>3735</v>
      </c>
      <c r="N44" s="19" t="s">
        <v>4181</v>
      </c>
      <c r="O44" s="19">
        <v>3428</v>
      </c>
      <c r="P44" s="59">
        <v>43073</v>
      </c>
      <c r="Q44" s="59">
        <v>46724</v>
      </c>
      <c r="R44" s="19" t="s">
        <v>2440</v>
      </c>
      <c r="S44" s="1" t="s">
        <v>2441</v>
      </c>
      <c r="T44" s="1" t="s">
        <v>2443</v>
      </c>
      <c r="U44" s="9" t="s">
        <v>2602</v>
      </c>
      <c r="V44" s="9" t="s">
        <v>200</v>
      </c>
      <c r="W44" s="9">
        <v>2554</v>
      </c>
      <c r="X44" s="9">
        <v>117802.26</v>
      </c>
      <c r="Y44" s="9">
        <v>104064.54</v>
      </c>
      <c r="Z44" s="2" t="s">
        <v>3741</v>
      </c>
      <c r="AA44" s="48"/>
      <c r="AB44" s="9"/>
      <c r="AC44" s="13"/>
      <c r="AD44" s="13"/>
      <c r="AE44" s="13"/>
      <c r="AF44" s="13"/>
      <c r="AG44" s="43"/>
      <c r="AH44" s="43"/>
      <c r="AI44" s="2"/>
      <c r="AJ44" s="1"/>
      <c r="AK44" s="1"/>
      <c r="AL44" s="1"/>
      <c r="AM44" s="44">
        <f>AG44*AI44*AJ44*AK44</f>
        <v>0</v>
      </c>
      <c r="AN44" s="45">
        <f>AH44*AI44*AJ44*AL44</f>
        <v>0</v>
      </c>
      <c r="AO44" s="46"/>
      <c r="AQ44" s="98"/>
      <c r="AR44" s="98"/>
    </row>
    <row r="45" spans="1:44" ht="63.75" customHeight="1">
      <c r="A45" s="10">
        <v>43</v>
      </c>
      <c r="B45" s="1" t="s">
        <v>3</v>
      </c>
      <c r="C45" s="1" t="s">
        <v>3</v>
      </c>
      <c r="D45" s="1">
        <v>1</v>
      </c>
      <c r="E45" s="1" t="s">
        <v>201</v>
      </c>
      <c r="F45" s="1" t="s">
        <v>202</v>
      </c>
      <c r="G45" s="2" t="s">
        <v>2437</v>
      </c>
      <c r="H45" s="1" t="s">
        <v>4166</v>
      </c>
      <c r="I45" s="19" t="s">
        <v>4127</v>
      </c>
      <c r="J45" s="58">
        <v>29104391</v>
      </c>
      <c r="K45" s="19" t="s">
        <v>2438</v>
      </c>
      <c r="L45" s="19">
        <v>3447000</v>
      </c>
      <c r="M45" s="19" t="s">
        <v>3735</v>
      </c>
      <c r="N45" s="19" t="s">
        <v>4181</v>
      </c>
      <c r="O45" s="19">
        <v>3428</v>
      </c>
      <c r="P45" s="59">
        <v>43073</v>
      </c>
      <c r="Q45" s="59">
        <v>46724</v>
      </c>
      <c r="R45" s="19" t="s">
        <v>2440</v>
      </c>
      <c r="S45" s="1" t="s">
        <v>2442</v>
      </c>
      <c r="T45" s="1" t="s">
        <v>2443</v>
      </c>
      <c r="U45" s="9" t="s">
        <v>203</v>
      </c>
      <c r="V45" s="9" t="s">
        <v>204</v>
      </c>
      <c r="W45" s="9">
        <v>2554</v>
      </c>
      <c r="X45" s="60">
        <v>117914.73</v>
      </c>
      <c r="Y45" s="60">
        <v>104033.38</v>
      </c>
      <c r="Z45" s="2" t="s">
        <v>4130</v>
      </c>
      <c r="AA45" s="47">
        <v>43700</v>
      </c>
      <c r="AB45" s="9" t="s">
        <v>2527</v>
      </c>
      <c r="AC45" s="13">
        <v>404</v>
      </c>
      <c r="AD45" s="13">
        <v>188</v>
      </c>
      <c r="AE45" s="49">
        <v>21.59</v>
      </c>
      <c r="AF45" s="13">
        <v>24</v>
      </c>
      <c r="AG45" s="102">
        <f>AE45*AC45*AF45*0.0036</f>
        <v>753.611904</v>
      </c>
      <c r="AH45" s="102">
        <f>AE45*AD45*AF45*0.0036</f>
        <v>350.690688</v>
      </c>
      <c r="AI45" s="2">
        <v>30</v>
      </c>
      <c r="AJ45" s="1">
        <v>12</v>
      </c>
      <c r="AK45" s="1">
        <v>0.63</v>
      </c>
      <c r="AL45" s="1">
        <v>0.68</v>
      </c>
      <c r="AM45" s="117">
        <f>AG45*AI45*AJ45*AK45</f>
        <v>170919.17982720002</v>
      </c>
      <c r="AN45" s="118">
        <f>AH45*AI45*AJ45*AL45</f>
        <v>85849.08042240002</v>
      </c>
      <c r="AO45" s="2" t="s">
        <v>2405</v>
      </c>
      <c r="AQ45" s="98"/>
      <c r="AR45" s="98"/>
    </row>
    <row r="46" spans="1:44" ht="81" customHeight="1">
      <c r="A46" s="10">
        <v>44</v>
      </c>
      <c r="B46" s="1" t="s">
        <v>3</v>
      </c>
      <c r="C46" s="1" t="s">
        <v>3</v>
      </c>
      <c r="D46" s="1">
        <v>1</v>
      </c>
      <c r="E46" s="1" t="s">
        <v>205</v>
      </c>
      <c r="F46" s="1" t="s">
        <v>202</v>
      </c>
      <c r="G46" s="2" t="s">
        <v>2437</v>
      </c>
      <c r="H46" s="1" t="s">
        <v>4166</v>
      </c>
      <c r="I46" s="19" t="s">
        <v>4127</v>
      </c>
      <c r="J46" s="58">
        <v>29104391</v>
      </c>
      <c r="K46" s="19" t="s">
        <v>2438</v>
      </c>
      <c r="L46" s="19">
        <v>3447000</v>
      </c>
      <c r="M46" s="19" t="s">
        <v>3735</v>
      </c>
      <c r="N46" s="19" t="s">
        <v>4181</v>
      </c>
      <c r="O46" s="19">
        <v>3428</v>
      </c>
      <c r="P46" s="59">
        <v>43073</v>
      </c>
      <c r="Q46" s="59">
        <v>46724</v>
      </c>
      <c r="R46" s="19" t="s">
        <v>2440</v>
      </c>
      <c r="S46" s="1" t="s">
        <v>2442</v>
      </c>
      <c r="T46" s="1" t="s">
        <v>2443</v>
      </c>
      <c r="U46" s="9" t="s">
        <v>2603</v>
      </c>
      <c r="V46" s="9" t="s">
        <v>206</v>
      </c>
      <c r="W46" s="9">
        <v>2554</v>
      </c>
      <c r="X46" s="60">
        <v>117918.72</v>
      </c>
      <c r="Y46" s="60">
        <v>104033.69</v>
      </c>
      <c r="Z46" s="2" t="s">
        <v>4131</v>
      </c>
      <c r="AA46" s="47">
        <v>43700</v>
      </c>
      <c r="AB46" s="9" t="s">
        <v>2412</v>
      </c>
      <c r="AC46" s="13">
        <v>350</v>
      </c>
      <c r="AD46" s="13">
        <v>236</v>
      </c>
      <c r="AE46" s="49">
        <v>26.6</v>
      </c>
      <c r="AF46" s="13">
        <v>24</v>
      </c>
      <c r="AG46" s="102">
        <f>AE46*AC46*AF46*0.0036</f>
        <v>804.384</v>
      </c>
      <c r="AH46" s="102">
        <f>AE46*AD46*AF46*0.0036</f>
        <v>542.3846400000001</v>
      </c>
      <c r="AI46" s="2">
        <v>30</v>
      </c>
      <c r="AJ46" s="1">
        <v>12</v>
      </c>
      <c r="AK46" s="1">
        <v>0.68</v>
      </c>
      <c r="AL46" s="1">
        <v>0.69</v>
      </c>
      <c r="AM46" s="117">
        <f>AG46*AI46*AJ46*AK46</f>
        <v>196913.20320000002</v>
      </c>
      <c r="AN46" s="118">
        <f>AH46*AI46*AJ46*AL46</f>
        <v>134728.34457600003</v>
      </c>
      <c r="AO46" s="2" t="s">
        <v>2405</v>
      </c>
      <c r="AQ46" s="98"/>
      <c r="AR46" s="98"/>
    </row>
    <row r="47" spans="1:44" ht="57" customHeight="1">
      <c r="A47" s="10">
        <v>45</v>
      </c>
      <c r="B47" s="1" t="s">
        <v>3</v>
      </c>
      <c r="C47" s="1" t="s">
        <v>3</v>
      </c>
      <c r="D47" s="1">
        <v>1</v>
      </c>
      <c r="E47" s="1" t="s">
        <v>207</v>
      </c>
      <c r="F47" s="9" t="s">
        <v>202</v>
      </c>
      <c r="G47" s="2" t="s">
        <v>2437</v>
      </c>
      <c r="H47" s="1" t="s">
        <v>4166</v>
      </c>
      <c r="I47" s="19" t="s">
        <v>4127</v>
      </c>
      <c r="J47" s="58">
        <v>29104391</v>
      </c>
      <c r="K47" s="19" t="s">
        <v>2438</v>
      </c>
      <c r="L47" s="19">
        <v>3447000</v>
      </c>
      <c r="M47" s="19" t="s">
        <v>3735</v>
      </c>
      <c r="N47" s="19" t="s">
        <v>4181</v>
      </c>
      <c r="O47" s="19">
        <v>3428</v>
      </c>
      <c r="P47" s="59">
        <v>43073</v>
      </c>
      <c r="Q47" s="59">
        <v>46724</v>
      </c>
      <c r="R47" s="19" t="s">
        <v>2440</v>
      </c>
      <c r="S47" s="9" t="s">
        <v>2441</v>
      </c>
      <c r="T47" s="9" t="s">
        <v>2445</v>
      </c>
      <c r="U47" s="9" t="s">
        <v>2604</v>
      </c>
      <c r="V47" s="9" t="s">
        <v>211</v>
      </c>
      <c r="W47" s="9">
        <v>2554</v>
      </c>
      <c r="X47" s="60">
        <v>117926.1</v>
      </c>
      <c r="Y47" s="60">
        <v>104052.8</v>
      </c>
      <c r="Z47" s="2" t="s">
        <v>4031</v>
      </c>
      <c r="AA47" s="48">
        <v>43761</v>
      </c>
      <c r="AB47" s="52">
        <v>0.4166666666666667</v>
      </c>
      <c r="AC47" s="13"/>
      <c r="AD47" s="13"/>
      <c r="AE47" s="13"/>
      <c r="AF47" s="13"/>
      <c r="AG47" s="43"/>
      <c r="AH47" s="43"/>
      <c r="AI47" s="2"/>
      <c r="AJ47" s="1"/>
      <c r="AK47" s="1"/>
      <c r="AL47" s="1"/>
      <c r="AM47" s="117">
        <v>109.17031150970766</v>
      </c>
      <c r="AN47" s="118">
        <v>135.23924315334347</v>
      </c>
      <c r="AO47" s="2" t="s">
        <v>2405</v>
      </c>
      <c r="AQ47" s="98"/>
      <c r="AR47" s="98"/>
    </row>
    <row r="48" spans="1:44" ht="12.75">
      <c r="A48" s="10">
        <v>46</v>
      </c>
      <c r="B48" s="1" t="s">
        <v>3</v>
      </c>
      <c r="C48" s="1" t="s">
        <v>3</v>
      </c>
      <c r="D48" s="1">
        <v>1</v>
      </c>
      <c r="E48" s="1" t="s">
        <v>208</v>
      </c>
      <c r="F48" s="9" t="s">
        <v>213</v>
      </c>
      <c r="G48" s="2" t="s">
        <v>2437</v>
      </c>
      <c r="H48" s="1" t="s">
        <v>4166</v>
      </c>
      <c r="I48" s="19" t="s">
        <v>4127</v>
      </c>
      <c r="J48" s="58">
        <v>29104391</v>
      </c>
      <c r="K48" s="19" t="s">
        <v>2438</v>
      </c>
      <c r="L48" s="19">
        <v>3447000</v>
      </c>
      <c r="M48" s="19" t="s">
        <v>3735</v>
      </c>
      <c r="N48" s="19" t="s">
        <v>4181</v>
      </c>
      <c r="O48" s="19">
        <v>3428</v>
      </c>
      <c r="P48" s="59">
        <v>43073</v>
      </c>
      <c r="Q48" s="59">
        <v>46724</v>
      </c>
      <c r="R48" s="19" t="s">
        <v>2440</v>
      </c>
      <c r="S48" s="9" t="s">
        <v>2442</v>
      </c>
      <c r="T48" s="1" t="s">
        <v>2443</v>
      </c>
      <c r="U48" s="9" t="s">
        <v>2605</v>
      </c>
      <c r="V48" s="9" t="s">
        <v>212</v>
      </c>
      <c r="W48" s="9">
        <v>2556</v>
      </c>
      <c r="X48" s="60">
        <v>118124</v>
      </c>
      <c r="Y48" s="60">
        <v>104043.52</v>
      </c>
      <c r="Z48" s="2" t="s">
        <v>3741</v>
      </c>
      <c r="AA48" s="48"/>
      <c r="AB48" s="9"/>
      <c r="AC48" s="13"/>
      <c r="AD48" s="13"/>
      <c r="AE48" s="13"/>
      <c r="AF48" s="13"/>
      <c r="AG48" s="43"/>
      <c r="AH48" s="43"/>
      <c r="AI48" s="2"/>
      <c r="AJ48" s="1"/>
      <c r="AK48" s="1"/>
      <c r="AL48" s="1"/>
      <c r="AM48" s="44">
        <f>AG48*AI48*AJ48*AK48</f>
        <v>0</v>
      </c>
      <c r="AN48" s="45">
        <f>AH48*AI48*AJ48*AL48</f>
        <v>0</v>
      </c>
      <c r="AO48" s="2" t="s">
        <v>2405</v>
      </c>
      <c r="AQ48" s="98"/>
      <c r="AR48" s="98"/>
    </row>
    <row r="49" spans="1:44" ht="12.75">
      <c r="A49" s="215" t="s">
        <v>2414</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119">
        <f>AM5+AM7+AM8+AM9+AM14+AM15+AM17+AM18+AM19+AM20+AM21+AM22+AM23+AM24+AM26+AM27+AM28+AM29+AM30+AM31+AM32+AM34+AM35+AM39+AM40+AM41+AM45+AM46+AM47</f>
        <v>739788.865086418</v>
      </c>
      <c r="AN49" s="119">
        <f>AN5+AN7+AN8+AN9+AN14+AN15+AN17+AN18+AN19+AN20+AN21+AN22+AN23+AN24+AN26+AN27+AN28+AN29+AN30+AN31+AN32+AN34+AN35+AN39+AN40+AN41+AN45+AN46+AN47</f>
        <v>459196.4353688796</v>
      </c>
      <c r="AO49" s="44"/>
      <c r="AQ49" s="98"/>
      <c r="AR49" s="98"/>
    </row>
    <row r="50" spans="1:45" ht="12.75">
      <c r="A50" s="213" t="s">
        <v>2415</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73">
        <f>SUM(AM3:AM48)+'Subcuenca río Torca'!AM5</f>
        <v>749312.203825618</v>
      </c>
      <c r="AN50" s="73">
        <f>SUM(AN3:AN48)+'Subcuenca río Torca'!AN5</f>
        <v>468021.05385207955</v>
      </c>
      <c r="AO50" s="44"/>
      <c r="AP50" s="97"/>
      <c r="AQ50" s="98"/>
      <c r="AR50" s="98"/>
      <c r="AS50" s="97"/>
    </row>
    <row r="51" spans="1:44" s="27" customFormat="1" ht="45.75" customHeight="1">
      <c r="A51" s="10">
        <v>47</v>
      </c>
      <c r="B51" s="1" t="s">
        <v>3</v>
      </c>
      <c r="C51" s="1" t="s">
        <v>3</v>
      </c>
      <c r="D51" s="1">
        <v>2</v>
      </c>
      <c r="E51" s="53" t="s">
        <v>2223</v>
      </c>
      <c r="F51" s="9" t="s">
        <v>2227</v>
      </c>
      <c r="G51" s="2" t="s">
        <v>2437</v>
      </c>
      <c r="H51" s="1" t="s">
        <v>4166</v>
      </c>
      <c r="I51" s="19" t="s">
        <v>4127</v>
      </c>
      <c r="J51" s="58">
        <v>29104391</v>
      </c>
      <c r="K51" s="19" t="s">
        <v>2438</v>
      </c>
      <c r="L51" s="19">
        <v>3447000</v>
      </c>
      <c r="M51" s="19" t="s">
        <v>3735</v>
      </c>
      <c r="N51" s="19" t="s">
        <v>4181</v>
      </c>
      <c r="O51" s="19">
        <v>3428</v>
      </c>
      <c r="P51" s="59">
        <v>43073</v>
      </c>
      <c r="Q51" s="59">
        <v>46724</v>
      </c>
      <c r="R51" s="19" t="s">
        <v>2440</v>
      </c>
      <c r="S51" s="9"/>
      <c r="T51" s="9"/>
      <c r="U51" s="54" t="s">
        <v>2211</v>
      </c>
      <c r="V51" s="54" t="s">
        <v>2222</v>
      </c>
      <c r="W51" s="54"/>
      <c r="X51" s="54"/>
      <c r="Y51" s="54"/>
      <c r="Z51" s="2" t="s">
        <v>3744</v>
      </c>
      <c r="AA51" s="55">
        <v>43761</v>
      </c>
      <c r="AB51" s="57" t="s">
        <v>2462</v>
      </c>
      <c r="AC51" s="51">
        <v>9</v>
      </c>
      <c r="AD51" s="51">
        <v>96</v>
      </c>
      <c r="AE51" s="123">
        <v>2.919</v>
      </c>
      <c r="AF51" s="51">
        <v>24</v>
      </c>
      <c r="AG51" s="102">
        <f>AE51*AC51*AF51*0.0036</f>
        <v>2.2698144</v>
      </c>
      <c r="AH51" s="102">
        <f>AE51*AD51*AF51*0.0036</f>
        <v>24.2113536</v>
      </c>
      <c r="AI51" s="2">
        <v>30</v>
      </c>
      <c r="AJ51" s="1">
        <v>12</v>
      </c>
      <c r="AK51" s="1">
        <v>0.6</v>
      </c>
      <c r="AL51" s="1">
        <v>0.56</v>
      </c>
      <c r="AM51" s="117">
        <f>AG51*AI51*AJ51*AK51</f>
        <v>490.2799104</v>
      </c>
      <c r="AN51" s="118">
        <f>AH51*AI51*AJ51*AL51</f>
        <v>4881.00888576</v>
      </c>
      <c r="AO51" s="2" t="s">
        <v>2413</v>
      </c>
      <c r="AQ51" s="98"/>
      <c r="AR51" s="98"/>
    </row>
    <row r="52" spans="1:44" s="27" customFormat="1" ht="80.25" customHeight="1">
      <c r="A52" s="10">
        <v>48</v>
      </c>
      <c r="B52" s="1" t="s">
        <v>3</v>
      </c>
      <c r="C52" s="1" t="s">
        <v>3</v>
      </c>
      <c r="D52" s="1">
        <v>2</v>
      </c>
      <c r="E52" s="54" t="s">
        <v>2224</v>
      </c>
      <c r="F52" s="9" t="s">
        <v>2228</v>
      </c>
      <c r="G52" s="2" t="s">
        <v>2437</v>
      </c>
      <c r="H52" s="1" t="s">
        <v>4166</v>
      </c>
      <c r="I52" s="19" t="s">
        <v>4127</v>
      </c>
      <c r="J52" s="58">
        <v>29104391</v>
      </c>
      <c r="K52" s="19" t="s">
        <v>2438</v>
      </c>
      <c r="L52" s="19">
        <v>3447000</v>
      </c>
      <c r="M52" s="19" t="s">
        <v>3735</v>
      </c>
      <c r="N52" s="19" t="s">
        <v>4181</v>
      </c>
      <c r="O52" s="19">
        <v>3428</v>
      </c>
      <c r="P52" s="59">
        <v>43073</v>
      </c>
      <c r="Q52" s="59">
        <v>46724</v>
      </c>
      <c r="R52" s="19" t="s">
        <v>2440</v>
      </c>
      <c r="S52" s="9"/>
      <c r="T52" s="9"/>
      <c r="U52" s="54" t="s">
        <v>2212</v>
      </c>
      <c r="V52" s="54" t="s">
        <v>2221</v>
      </c>
      <c r="W52" s="54"/>
      <c r="X52" s="54"/>
      <c r="Y52" s="54"/>
      <c r="Z52" s="2" t="s">
        <v>4031</v>
      </c>
      <c r="AA52" s="55">
        <v>43784</v>
      </c>
      <c r="AB52" s="57">
        <v>0.42083333333333334</v>
      </c>
      <c r="AC52" s="68"/>
      <c r="AD52" s="68"/>
      <c r="AE52" s="68"/>
      <c r="AF52" s="68"/>
      <c r="AG52" s="68"/>
      <c r="AH52" s="68"/>
      <c r="AI52" s="68"/>
      <c r="AJ52" s="68"/>
      <c r="AK52" s="68"/>
      <c r="AL52" s="68"/>
      <c r="AM52" s="117">
        <v>7957.411776900199</v>
      </c>
      <c r="AN52" s="118">
        <v>37123.72622087131</v>
      </c>
      <c r="AO52" s="2" t="s">
        <v>2413</v>
      </c>
      <c r="AQ52" s="98"/>
      <c r="AR52" s="98"/>
    </row>
    <row r="53" spans="1:44" s="27" customFormat="1" ht="72.75" customHeight="1">
      <c r="A53" s="10">
        <v>49</v>
      </c>
      <c r="B53" s="1" t="s">
        <v>3</v>
      </c>
      <c r="C53" s="1" t="s">
        <v>3</v>
      </c>
      <c r="D53" s="1">
        <v>2</v>
      </c>
      <c r="E53" s="54" t="s">
        <v>2225</v>
      </c>
      <c r="F53" s="9" t="s">
        <v>2229</v>
      </c>
      <c r="G53" s="2" t="s">
        <v>2437</v>
      </c>
      <c r="H53" s="1" t="s">
        <v>4166</v>
      </c>
      <c r="I53" s="19" t="s">
        <v>4127</v>
      </c>
      <c r="J53" s="58">
        <v>29104391</v>
      </c>
      <c r="K53" s="19" t="s">
        <v>2438</v>
      </c>
      <c r="L53" s="19">
        <v>3447000</v>
      </c>
      <c r="M53" s="19" t="s">
        <v>3735</v>
      </c>
      <c r="N53" s="19" t="s">
        <v>4181</v>
      </c>
      <c r="O53" s="19">
        <v>3428</v>
      </c>
      <c r="P53" s="59">
        <v>43073</v>
      </c>
      <c r="Q53" s="59">
        <v>46724</v>
      </c>
      <c r="R53" s="19" t="s">
        <v>2440</v>
      </c>
      <c r="S53" s="9"/>
      <c r="T53" s="9"/>
      <c r="U53" s="54" t="s">
        <v>2213</v>
      </c>
      <c r="V53" s="54" t="s">
        <v>2220</v>
      </c>
      <c r="W53" s="54"/>
      <c r="X53" s="54"/>
      <c r="Y53" s="54"/>
      <c r="Z53" s="2" t="s">
        <v>4044</v>
      </c>
      <c r="AA53" s="55">
        <v>43721</v>
      </c>
      <c r="AB53" s="54" t="s">
        <v>2411</v>
      </c>
      <c r="AC53" s="51">
        <v>314</v>
      </c>
      <c r="AD53" s="51">
        <v>147</v>
      </c>
      <c r="AE53" s="123">
        <v>3.18</v>
      </c>
      <c r="AF53" s="51">
        <v>24</v>
      </c>
      <c r="AG53" s="102">
        <f>AE53*AC53*AF53*0.0036</f>
        <v>86.27212800000001</v>
      </c>
      <c r="AH53" s="102">
        <f>AE53*AD53*AF53*0.0036</f>
        <v>40.388544</v>
      </c>
      <c r="AI53" s="2">
        <v>30</v>
      </c>
      <c r="AJ53" s="1">
        <v>12</v>
      </c>
      <c r="AK53" s="1">
        <v>0.51</v>
      </c>
      <c r="AL53" s="1">
        <v>0.58</v>
      </c>
      <c r="AM53" s="117">
        <f>AG53*AI53*AJ53*AK53</f>
        <v>15839.562700800001</v>
      </c>
      <c r="AN53" s="118">
        <f>AH53*AI53*AJ53*AL53</f>
        <v>8433.1279872</v>
      </c>
      <c r="AO53" s="2" t="s">
        <v>2413</v>
      </c>
      <c r="AQ53" s="98"/>
      <c r="AR53" s="98"/>
    </row>
    <row r="54" spans="1:44" s="27" customFormat="1" ht="70.5" customHeight="1">
      <c r="A54" s="10">
        <v>50</v>
      </c>
      <c r="B54" s="1" t="s">
        <v>3</v>
      </c>
      <c r="C54" s="1" t="s">
        <v>3</v>
      </c>
      <c r="D54" s="1">
        <v>2</v>
      </c>
      <c r="E54" s="56" t="s">
        <v>2226</v>
      </c>
      <c r="F54" s="9" t="s">
        <v>2229</v>
      </c>
      <c r="G54" s="2" t="s">
        <v>2437</v>
      </c>
      <c r="H54" s="1" t="s">
        <v>4166</v>
      </c>
      <c r="I54" s="19" t="s">
        <v>4127</v>
      </c>
      <c r="J54" s="58">
        <v>29104391</v>
      </c>
      <c r="K54" s="19" t="s">
        <v>2438</v>
      </c>
      <c r="L54" s="19">
        <v>3447000</v>
      </c>
      <c r="M54" s="19" t="s">
        <v>3735</v>
      </c>
      <c r="N54" s="19" t="s">
        <v>4181</v>
      </c>
      <c r="O54" s="19">
        <v>3428</v>
      </c>
      <c r="P54" s="59">
        <v>43073</v>
      </c>
      <c r="Q54" s="59">
        <v>46724</v>
      </c>
      <c r="R54" s="19" t="s">
        <v>2440</v>
      </c>
      <c r="S54" s="9"/>
      <c r="T54" s="9"/>
      <c r="U54" s="54" t="s">
        <v>2214</v>
      </c>
      <c r="V54" s="54" t="s">
        <v>2219</v>
      </c>
      <c r="W54" s="54"/>
      <c r="X54" s="54"/>
      <c r="Y54" s="54"/>
      <c r="Z54" s="2" t="s">
        <v>3750</v>
      </c>
      <c r="AA54" s="55">
        <v>43784</v>
      </c>
      <c r="AB54" s="57">
        <v>0.4680555555555555</v>
      </c>
      <c r="AC54" s="68"/>
      <c r="AD54" s="68"/>
      <c r="AE54" s="68"/>
      <c r="AF54" s="68"/>
      <c r="AG54" s="68"/>
      <c r="AH54" s="68"/>
      <c r="AI54" s="68"/>
      <c r="AJ54" s="68"/>
      <c r="AK54" s="68"/>
      <c r="AL54" s="68"/>
      <c r="AM54" s="117">
        <f>AG54*AI54*AJ54*AK54</f>
        <v>0</v>
      </c>
      <c r="AN54" s="118">
        <f>AH54*AI54*AJ54*AL54</f>
        <v>0</v>
      </c>
      <c r="AO54" s="2" t="s">
        <v>2413</v>
      </c>
      <c r="AQ54" s="98"/>
      <c r="AR54" s="98"/>
    </row>
    <row r="55" spans="1:44" s="27" customFormat="1" ht="56.25" customHeight="1">
      <c r="A55" s="10">
        <v>51</v>
      </c>
      <c r="B55" s="1" t="s">
        <v>3</v>
      </c>
      <c r="C55" s="1" t="s">
        <v>3</v>
      </c>
      <c r="D55" s="1">
        <v>2</v>
      </c>
      <c r="E55" s="1" t="s">
        <v>209</v>
      </c>
      <c r="F55" s="9" t="s">
        <v>214</v>
      </c>
      <c r="G55" s="2" t="s">
        <v>2437</v>
      </c>
      <c r="H55" s="1" t="s">
        <v>4166</v>
      </c>
      <c r="I55" s="19" t="s">
        <v>4127</v>
      </c>
      <c r="J55" s="58">
        <v>29104391</v>
      </c>
      <c r="K55" s="19" t="s">
        <v>2438</v>
      </c>
      <c r="L55" s="19">
        <v>3447000</v>
      </c>
      <c r="M55" s="19" t="s">
        <v>3735</v>
      </c>
      <c r="N55" s="19" t="s">
        <v>4181</v>
      </c>
      <c r="O55" s="19">
        <v>3428</v>
      </c>
      <c r="P55" s="59">
        <v>43073</v>
      </c>
      <c r="Q55" s="59">
        <v>46724</v>
      </c>
      <c r="R55" s="19" t="s">
        <v>2440</v>
      </c>
      <c r="S55" s="9" t="s">
        <v>2441</v>
      </c>
      <c r="T55" s="9" t="s">
        <v>2443</v>
      </c>
      <c r="U55" s="9" t="s">
        <v>2215</v>
      </c>
      <c r="V55" s="9" t="s">
        <v>2217</v>
      </c>
      <c r="W55" s="9">
        <v>2555</v>
      </c>
      <c r="X55" s="60">
        <v>119319.72</v>
      </c>
      <c r="Y55" s="60">
        <v>104306.3</v>
      </c>
      <c r="Z55" s="2" t="s">
        <v>4045</v>
      </c>
      <c r="AA55" s="48">
        <v>43726</v>
      </c>
      <c r="AB55" s="9" t="s">
        <v>3856</v>
      </c>
      <c r="AC55" s="206">
        <v>10.9</v>
      </c>
      <c r="AD55" s="206">
        <v>21</v>
      </c>
      <c r="AE55" s="123">
        <v>1.32</v>
      </c>
      <c r="AF55" s="51">
        <v>24</v>
      </c>
      <c r="AG55" s="102">
        <f>AE55*AC55*AF55*0.0036</f>
        <v>1.2431232</v>
      </c>
      <c r="AH55" s="102">
        <f>AE55*AD55*AF55*0.0036</f>
        <v>2.3950080000000002</v>
      </c>
      <c r="AI55" s="2">
        <v>30</v>
      </c>
      <c r="AJ55" s="1">
        <v>12</v>
      </c>
      <c r="AK55" s="1">
        <v>0.5</v>
      </c>
      <c r="AL55" s="1">
        <v>0.57</v>
      </c>
      <c r="AM55" s="117">
        <f>AG55*AI55*AJ55*AK55</f>
        <v>223.762176</v>
      </c>
      <c r="AN55" s="118">
        <f>AH55*AI55*AJ55*AL55</f>
        <v>491.45564160000004</v>
      </c>
      <c r="AO55" s="2" t="s">
        <v>2413</v>
      </c>
      <c r="AQ55" s="98"/>
      <c r="AR55" s="98"/>
    </row>
    <row r="56" spans="1:44" s="27" customFormat="1" ht="48.75" customHeight="1">
      <c r="A56" s="10">
        <v>52</v>
      </c>
      <c r="B56" s="1" t="s">
        <v>3</v>
      </c>
      <c r="C56" s="1" t="s">
        <v>3</v>
      </c>
      <c r="D56" s="1">
        <v>2</v>
      </c>
      <c r="E56" s="1" t="s">
        <v>210</v>
      </c>
      <c r="F56" s="9" t="s">
        <v>215</v>
      </c>
      <c r="G56" s="2" t="s">
        <v>2437</v>
      </c>
      <c r="H56" s="1" t="s">
        <v>4166</v>
      </c>
      <c r="I56" s="19" t="s">
        <v>4127</v>
      </c>
      <c r="J56" s="58">
        <v>29104391</v>
      </c>
      <c r="K56" s="19" t="s">
        <v>2438</v>
      </c>
      <c r="L56" s="19">
        <v>3447000</v>
      </c>
      <c r="M56" s="19" t="s">
        <v>3735</v>
      </c>
      <c r="N56" s="19" t="s">
        <v>4181</v>
      </c>
      <c r="O56" s="19">
        <v>3428</v>
      </c>
      <c r="P56" s="59">
        <v>43073</v>
      </c>
      <c r="Q56" s="59">
        <v>46724</v>
      </c>
      <c r="R56" s="19" t="s">
        <v>2440</v>
      </c>
      <c r="S56" s="9" t="s">
        <v>2442</v>
      </c>
      <c r="T56" s="9" t="s">
        <v>2446</v>
      </c>
      <c r="U56" s="9" t="s">
        <v>2216</v>
      </c>
      <c r="V56" s="9" t="s">
        <v>2218</v>
      </c>
      <c r="W56" s="9">
        <v>2554</v>
      </c>
      <c r="X56" s="60">
        <v>119465.68</v>
      </c>
      <c r="Y56" s="60">
        <v>104276.69</v>
      </c>
      <c r="Z56" s="2" t="s">
        <v>4132</v>
      </c>
      <c r="AA56" s="48"/>
      <c r="AB56" s="9"/>
      <c r="AC56" s="51"/>
      <c r="AD56" s="51"/>
      <c r="AE56" s="123"/>
      <c r="AF56" s="51"/>
      <c r="AG56" s="43"/>
      <c r="AH56" s="43"/>
      <c r="AI56" s="2"/>
      <c r="AJ56" s="1"/>
      <c r="AK56" s="1"/>
      <c r="AL56" s="1"/>
      <c r="AM56" s="117">
        <f>AVERAGE(AM57:AM58)</f>
        <v>1654.7345418240002</v>
      </c>
      <c r="AN56" s="117">
        <f>AVERAGE(AN57:AN58)</f>
        <v>1567.594664064</v>
      </c>
      <c r="AO56" s="2" t="s">
        <v>2413</v>
      </c>
      <c r="AQ56" s="98"/>
      <c r="AR56" s="98"/>
    </row>
    <row r="57" spans="1:44" s="27" customFormat="1" ht="48.75" customHeight="1" hidden="1">
      <c r="A57" s="1"/>
      <c r="B57" s="1"/>
      <c r="C57" s="1"/>
      <c r="D57" s="1"/>
      <c r="E57" s="1"/>
      <c r="F57" s="9"/>
      <c r="G57" s="2"/>
      <c r="H57" s="1"/>
      <c r="I57" s="1"/>
      <c r="J57" s="63"/>
      <c r="K57" s="1"/>
      <c r="L57" s="1"/>
      <c r="M57" s="1"/>
      <c r="N57" s="1"/>
      <c r="O57" s="1"/>
      <c r="P57" s="64"/>
      <c r="Q57" s="64"/>
      <c r="R57" s="1"/>
      <c r="S57" s="9"/>
      <c r="T57" s="9"/>
      <c r="U57" s="9"/>
      <c r="V57" s="9"/>
      <c r="W57" s="9"/>
      <c r="X57" s="60"/>
      <c r="Y57" s="60"/>
      <c r="Z57" s="2" t="s">
        <v>3744</v>
      </c>
      <c r="AA57" s="48">
        <v>43783</v>
      </c>
      <c r="AB57" s="9" t="s">
        <v>3751</v>
      </c>
      <c r="AC57" s="51">
        <v>72</v>
      </c>
      <c r="AD57" s="51">
        <v>73</v>
      </c>
      <c r="AE57" s="123">
        <v>1.911</v>
      </c>
      <c r="AF57" s="51">
        <v>24</v>
      </c>
      <c r="AG57" s="102">
        <f>AE57*AC57*AF57*0.0036</f>
        <v>11.887948800000002</v>
      </c>
      <c r="AH57" s="102">
        <f>AE57*AD57*AF57*0.0036</f>
        <v>12.0530592</v>
      </c>
      <c r="AI57" s="2">
        <v>30</v>
      </c>
      <c r="AJ57" s="1">
        <v>12</v>
      </c>
      <c r="AK57" s="1">
        <v>0.51</v>
      </c>
      <c r="AL57" s="1">
        <v>0.58</v>
      </c>
      <c r="AM57" s="127">
        <f>AG57*AI57*AJ57*AK57</f>
        <v>2182.62739968</v>
      </c>
      <c r="AN57" s="128">
        <f>AH57*AI57*AJ57*AL57</f>
        <v>2516.6787609599996</v>
      </c>
      <c r="AO57" s="2"/>
      <c r="AQ57" s="98"/>
      <c r="AR57" s="98"/>
    </row>
    <row r="58" spans="1:44" s="27" customFormat="1" ht="48.75" customHeight="1" hidden="1">
      <c r="A58" s="1"/>
      <c r="B58" s="1"/>
      <c r="C58" s="1"/>
      <c r="D58" s="1"/>
      <c r="E58" s="1"/>
      <c r="F58" s="9"/>
      <c r="G58" s="2"/>
      <c r="H58" s="1"/>
      <c r="I58" s="1"/>
      <c r="J58" s="63"/>
      <c r="K58" s="1"/>
      <c r="L58" s="1"/>
      <c r="M58" s="1"/>
      <c r="N58" s="1"/>
      <c r="O58" s="1"/>
      <c r="P58" s="64"/>
      <c r="Q58" s="64"/>
      <c r="R58" s="1"/>
      <c r="S58" s="9"/>
      <c r="T58" s="9"/>
      <c r="U58" s="9"/>
      <c r="V58" s="9"/>
      <c r="W58" s="9"/>
      <c r="X58" s="60"/>
      <c r="Y58" s="60"/>
      <c r="Z58" s="2" t="s">
        <v>3996</v>
      </c>
      <c r="AA58" s="48">
        <v>43726</v>
      </c>
      <c r="AB58" s="9" t="s">
        <v>3992</v>
      </c>
      <c r="AC58" s="51">
        <v>154</v>
      </c>
      <c r="AD58" s="51">
        <v>74.5</v>
      </c>
      <c r="AE58" s="123">
        <v>0.4524000000000001</v>
      </c>
      <c r="AF58" s="51">
        <v>24</v>
      </c>
      <c r="AG58" s="102">
        <f>AE58*AC58*AF58*0.0036</f>
        <v>6.019453440000001</v>
      </c>
      <c r="AH58" s="102">
        <f>AE58*AD58*AF58*0.0036</f>
        <v>2.912008320000001</v>
      </c>
      <c r="AI58" s="2">
        <v>30</v>
      </c>
      <c r="AJ58" s="1">
        <v>12</v>
      </c>
      <c r="AK58" s="1">
        <v>0.52</v>
      </c>
      <c r="AL58" s="1">
        <v>0.59</v>
      </c>
      <c r="AM58" s="127">
        <f>AG58*AI58*AJ58*AK58</f>
        <v>1126.8416839680003</v>
      </c>
      <c r="AN58" s="128">
        <f>AH58*AI58*AJ58*AL58</f>
        <v>618.5105671680002</v>
      </c>
      <c r="AO58" s="2"/>
      <c r="AQ58" s="98"/>
      <c r="AR58" s="98"/>
    </row>
    <row r="59" spans="1:41" ht="12.75">
      <c r="A59" s="215" t="s">
        <v>2414</v>
      </c>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119">
        <f>AM51+AM52+AM53+AM54+AM55+AM56</f>
        <v>26165.7511059242</v>
      </c>
      <c r="AN59" s="119">
        <f>AN51+AN52+AN53+AN54+AN55+AN56</f>
        <v>52496.91339949531</v>
      </c>
      <c r="AO59" s="2"/>
    </row>
    <row r="60" spans="1:45" ht="12.75">
      <c r="A60" s="213" t="s">
        <v>2415</v>
      </c>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73">
        <f>SUM(AM51:AM56)</f>
        <v>26165.7511059242</v>
      </c>
      <c r="AN60" s="73">
        <f>SUM(AN51:AN56)</f>
        <v>52496.91339949531</v>
      </c>
      <c r="AO60" s="2"/>
      <c r="AR60" s="97"/>
      <c r="AS60" s="97"/>
    </row>
  </sheetData>
  <sheetProtection/>
  <mergeCells count="40">
    <mergeCell ref="K1:K2"/>
    <mergeCell ref="L1:L2"/>
    <mergeCell ref="AO1:AO2"/>
    <mergeCell ref="AC1:AC2"/>
    <mergeCell ref="AD1:AD2"/>
    <mergeCell ref="AE1:AE2"/>
    <mergeCell ref="AF1:AF2"/>
    <mergeCell ref="AI1:AI2"/>
    <mergeCell ref="AJ1:AJ2"/>
    <mergeCell ref="AG1:AG2"/>
    <mergeCell ref="AN1:AN2"/>
    <mergeCell ref="AM1:AM2"/>
    <mergeCell ref="AK1:AK2"/>
    <mergeCell ref="AL1:AL2"/>
    <mergeCell ref="G1:G2"/>
    <mergeCell ref="H1:H2"/>
    <mergeCell ref="AA1:AA2"/>
    <mergeCell ref="W1:W2"/>
    <mergeCell ref="M1:M2"/>
    <mergeCell ref="AB1:AB2"/>
    <mergeCell ref="A59:AL59"/>
    <mergeCell ref="A60:AL60"/>
    <mergeCell ref="R1:R2"/>
    <mergeCell ref="S1:S2"/>
    <mergeCell ref="U1:V1"/>
    <mergeCell ref="Z1:Z2"/>
    <mergeCell ref="C1:C2"/>
    <mergeCell ref="AH1:AH2"/>
    <mergeCell ref="J1:J2"/>
    <mergeCell ref="I1:I2"/>
    <mergeCell ref="A50:AL50"/>
    <mergeCell ref="A49:AL49"/>
    <mergeCell ref="A1:A2"/>
    <mergeCell ref="B1:B2"/>
    <mergeCell ref="D1:D2"/>
    <mergeCell ref="E1:E2"/>
    <mergeCell ref="N1:Q1"/>
    <mergeCell ref="T1:T2"/>
    <mergeCell ref="F1:F2"/>
    <mergeCell ref="X1:Y1"/>
  </mergeCells>
  <printOptions/>
  <pageMargins left="0.7" right="0.7" top="0.75" bottom="0.75" header="0.3" footer="0.3"/>
  <pageSetup horizontalDpi="300" verticalDpi="300" orientation="portrait" r:id="rId3"/>
  <ignoredErrors>
    <ignoredError sqref="AM56:AN56" formula="1"/>
  </ignoredErrors>
  <legacyDrawing r:id="rId2"/>
</worksheet>
</file>

<file path=xl/worksheets/sheet2.xml><?xml version="1.0" encoding="utf-8"?>
<worksheet xmlns="http://schemas.openxmlformats.org/spreadsheetml/2006/main" xmlns:r="http://schemas.openxmlformats.org/officeDocument/2006/relationships">
  <dimension ref="A1:AO5"/>
  <sheetViews>
    <sheetView zoomScale="80" zoomScaleNormal="80" zoomScalePageLayoutView="0" workbookViewId="0" topLeftCell="A1">
      <pane xSplit="5" ySplit="2" topLeftCell="J3" activePane="bottomRight" state="frozen"/>
      <selection pane="topLeft" activeCell="A1" sqref="A1"/>
      <selection pane="topRight" activeCell="F1" sqref="F1"/>
      <selection pane="bottomLeft" activeCell="A3" sqref="A3"/>
      <selection pane="bottomRight" activeCell="Q2" sqref="Q1:S16384"/>
    </sheetView>
  </sheetViews>
  <sheetFormatPr defaultColWidth="11.421875" defaultRowHeight="15"/>
  <cols>
    <col min="1" max="1" width="6.57421875" style="65" customWidth="1"/>
    <col min="2" max="2" width="12.00390625" style="65" bestFit="1" customWidth="1"/>
    <col min="3" max="3" width="18.140625" style="65" bestFit="1" customWidth="1"/>
    <col min="4" max="4" width="23.7109375" style="65" bestFit="1" customWidth="1"/>
    <col min="5" max="5" width="21.8515625" style="65" bestFit="1" customWidth="1"/>
    <col min="6" max="6" width="20.28125" style="65" bestFit="1" customWidth="1"/>
    <col min="7" max="7" width="14.00390625" style="65" customWidth="1"/>
    <col min="8" max="8" width="11.8515625" style="65" customWidth="1"/>
    <col min="9" max="9" width="19.7109375" style="65" bestFit="1" customWidth="1"/>
    <col min="10" max="10" width="17.421875" style="65" bestFit="1" customWidth="1"/>
    <col min="11" max="11" width="11.00390625" style="65" bestFit="1" customWidth="1"/>
    <col min="12" max="12" width="11.00390625" style="65" customWidth="1"/>
    <col min="13" max="13" width="14.421875" style="65" bestFit="1" customWidth="1"/>
    <col min="14" max="14" width="6.7109375" style="65" bestFit="1" customWidth="1"/>
    <col min="15" max="15" width="9.57421875" style="65" bestFit="1" customWidth="1"/>
    <col min="16" max="16" width="8.7109375" style="65" bestFit="1" customWidth="1"/>
    <col min="17" max="17" width="10.28125" style="65" bestFit="1" customWidth="1"/>
    <col min="18" max="19" width="10.28125" style="65" customWidth="1"/>
    <col min="20" max="20" width="20.140625" style="65" bestFit="1" customWidth="1"/>
    <col min="21" max="21" width="18.00390625" style="65" customWidth="1"/>
    <col min="22" max="22" width="17.8515625" style="65" customWidth="1"/>
    <col min="23" max="25" width="11.421875" style="65" customWidth="1"/>
    <col min="26" max="26" width="57.00390625" style="65" customWidth="1"/>
    <col min="27" max="16384" width="11.421875" style="65" customWidth="1"/>
  </cols>
  <sheetData>
    <row r="1" spans="1:41" ht="15" customHeight="1">
      <c r="A1" s="217" t="s">
        <v>0</v>
      </c>
      <c r="B1" s="217" t="s">
        <v>2307</v>
      </c>
      <c r="C1" s="217" t="s">
        <v>84</v>
      </c>
      <c r="D1" s="217" t="s">
        <v>85</v>
      </c>
      <c r="E1" s="217" t="s">
        <v>2416</v>
      </c>
      <c r="F1" s="217" t="s">
        <v>87</v>
      </c>
      <c r="G1" s="217" t="s">
        <v>2417</v>
      </c>
      <c r="H1" s="217" t="s">
        <v>2418</v>
      </c>
      <c r="I1" s="217" t="s">
        <v>2419</v>
      </c>
      <c r="J1" s="223" t="s">
        <v>2420</v>
      </c>
      <c r="K1" s="217" t="s">
        <v>2421</v>
      </c>
      <c r="L1" s="217" t="s">
        <v>2422</v>
      </c>
      <c r="M1" s="217" t="s">
        <v>2423</v>
      </c>
      <c r="N1" s="217" t="s">
        <v>2424</v>
      </c>
      <c r="O1" s="217"/>
      <c r="P1" s="217"/>
      <c r="Q1" s="217"/>
      <c r="R1" s="217" t="s">
        <v>2429</v>
      </c>
      <c r="S1" s="217" t="s">
        <v>2430</v>
      </c>
      <c r="T1" s="217" t="s">
        <v>2431</v>
      </c>
      <c r="U1" s="218" t="s">
        <v>1</v>
      </c>
      <c r="V1" s="219"/>
      <c r="W1" s="217" t="s">
        <v>2432</v>
      </c>
      <c r="X1" s="217" t="s">
        <v>2433</v>
      </c>
      <c r="Y1" s="217"/>
      <c r="Z1" s="217" t="s">
        <v>2401</v>
      </c>
      <c r="AA1" s="217" t="s">
        <v>2402</v>
      </c>
      <c r="AB1" s="217" t="s">
        <v>2403</v>
      </c>
      <c r="AC1" s="217" t="s">
        <v>2386</v>
      </c>
      <c r="AD1" s="217" t="s">
        <v>2387</v>
      </c>
      <c r="AE1" s="217" t="s">
        <v>2388</v>
      </c>
      <c r="AF1" s="217" t="s">
        <v>2389</v>
      </c>
      <c r="AG1" s="217" t="s">
        <v>2390</v>
      </c>
      <c r="AH1" s="217" t="s">
        <v>2391</v>
      </c>
      <c r="AI1" s="217" t="s">
        <v>2392</v>
      </c>
      <c r="AJ1" s="217" t="s">
        <v>2393</v>
      </c>
      <c r="AK1" s="217" t="s">
        <v>2394</v>
      </c>
      <c r="AL1" s="217" t="s">
        <v>2395</v>
      </c>
      <c r="AM1" s="220" t="s">
        <v>2396</v>
      </c>
      <c r="AN1" s="220" t="s">
        <v>2397</v>
      </c>
      <c r="AO1" s="217" t="s">
        <v>2398</v>
      </c>
    </row>
    <row r="2" spans="1:41" ht="25.5">
      <c r="A2" s="217"/>
      <c r="B2" s="217"/>
      <c r="C2" s="217"/>
      <c r="D2" s="217"/>
      <c r="E2" s="217"/>
      <c r="F2" s="217"/>
      <c r="G2" s="217"/>
      <c r="H2" s="217"/>
      <c r="I2" s="217"/>
      <c r="J2" s="223"/>
      <c r="K2" s="217"/>
      <c r="L2" s="217"/>
      <c r="M2" s="217"/>
      <c r="N2" s="40" t="s">
        <v>2425</v>
      </c>
      <c r="O2" s="40" t="s">
        <v>2426</v>
      </c>
      <c r="P2" s="40" t="s">
        <v>2427</v>
      </c>
      <c r="Q2" s="40" t="s">
        <v>2428</v>
      </c>
      <c r="R2" s="217"/>
      <c r="S2" s="217"/>
      <c r="T2" s="217"/>
      <c r="U2" s="40" t="s">
        <v>2399</v>
      </c>
      <c r="V2" s="40" t="s">
        <v>2400</v>
      </c>
      <c r="W2" s="217"/>
      <c r="X2" s="40" t="s">
        <v>2434</v>
      </c>
      <c r="Y2" s="40" t="s">
        <v>2435</v>
      </c>
      <c r="Z2" s="217"/>
      <c r="AA2" s="217"/>
      <c r="AB2" s="217"/>
      <c r="AC2" s="217"/>
      <c r="AD2" s="217"/>
      <c r="AE2" s="217"/>
      <c r="AF2" s="217"/>
      <c r="AG2" s="217"/>
      <c r="AH2" s="217"/>
      <c r="AI2" s="217"/>
      <c r="AJ2" s="217"/>
      <c r="AK2" s="217"/>
      <c r="AL2" s="217"/>
      <c r="AM2" s="220"/>
      <c r="AN2" s="220"/>
      <c r="AO2" s="217"/>
    </row>
    <row r="3" spans="1:41" ht="58.5" customHeight="1">
      <c r="A3" s="1">
        <v>1</v>
      </c>
      <c r="B3" s="1" t="s">
        <v>2348</v>
      </c>
      <c r="C3" s="1" t="s">
        <v>3</v>
      </c>
      <c r="D3" s="1">
        <v>1</v>
      </c>
      <c r="E3" s="1" t="s">
        <v>2349</v>
      </c>
      <c r="F3" s="1" t="s">
        <v>2350</v>
      </c>
      <c r="G3" s="2" t="s">
        <v>2437</v>
      </c>
      <c r="H3" s="1" t="s">
        <v>4166</v>
      </c>
      <c r="I3" s="1" t="s">
        <v>4127</v>
      </c>
      <c r="J3" s="63">
        <v>29104391</v>
      </c>
      <c r="K3" s="1" t="s">
        <v>2438</v>
      </c>
      <c r="L3" s="1">
        <v>3447000</v>
      </c>
      <c r="M3" s="1" t="s">
        <v>3735</v>
      </c>
      <c r="N3" s="19" t="s">
        <v>4181</v>
      </c>
      <c r="O3" s="1">
        <v>3428</v>
      </c>
      <c r="P3" s="64">
        <v>43073</v>
      </c>
      <c r="Q3" s="64">
        <v>46724</v>
      </c>
      <c r="R3" s="62" t="s">
        <v>2440</v>
      </c>
      <c r="S3" s="62" t="s">
        <v>2441</v>
      </c>
      <c r="T3" s="1" t="s">
        <v>2443</v>
      </c>
      <c r="U3" s="2" t="s">
        <v>2351</v>
      </c>
      <c r="V3" s="2" t="s">
        <v>2352</v>
      </c>
      <c r="W3" s="1">
        <v>2580</v>
      </c>
      <c r="X3" s="1">
        <v>117428.89</v>
      </c>
      <c r="Y3" s="1">
        <v>105912.78</v>
      </c>
      <c r="Z3" s="2" t="s">
        <v>3997</v>
      </c>
      <c r="AA3" s="104">
        <v>43700</v>
      </c>
      <c r="AB3" s="82" t="s">
        <v>3749</v>
      </c>
      <c r="AC3" s="82">
        <v>143</v>
      </c>
      <c r="AD3" s="82">
        <v>137</v>
      </c>
      <c r="AE3" s="82">
        <v>3.51</v>
      </c>
      <c r="AF3" s="82">
        <v>24</v>
      </c>
      <c r="AG3" s="102">
        <f>AE3*AC3*AF3*0.0036</f>
        <v>43.366752</v>
      </c>
      <c r="AH3" s="102">
        <f>AE3*AD3*AF3*0.0036</f>
        <v>41.547168</v>
      </c>
      <c r="AI3" s="2">
        <v>30</v>
      </c>
      <c r="AJ3" s="1">
        <v>12</v>
      </c>
      <c r="AK3" s="1">
        <v>0.61</v>
      </c>
      <c r="AL3" s="1">
        <v>0.59</v>
      </c>
      <c r="AM3" s="44">
        <f>AG3*AI3*AJ3*AK3</f>
        <v>9523.338739199999</v>
      </c>
      <c r="AN3" s="45">
        <f>AH3*AI3*AJ3*AL3</f>
        <v>8824.618483199998</v>
      </c>
      <c r="AO3" s="2" t="s">
        <v>2405</v>
      </c>
    </row>
    <row r="4" spans="1:41" ht="12.75" customHeight="1">
      <c r="A4" s="215" t="s">
        <v>2414</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70">
        <f>SUM(AM3)</f>
        <v>9523.338739199999</v>
      </c>
      <c r="AN4" s="70">
        <f>SUM(AN3)</f>
        <v>8824.618483199998</v>
      </c>
      <c r="AO4" s="66"/>
    </row>
    <row r="5" spans="1:41" ht="12.75" customHeight="1">
      <c r="A5" s="213" t="s">
        <v>2415</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71">
        <f>SUM(AM3)</f>
        <v>9523.338739199999</v>
      </c>
      <c r="AN5" s="71">
        <f>SUM(AN3)</f>
        <v>8824.618483199998</v>
      </c>
      <c r="AO5" s="66"/>
    </row>
  </sheetData>
  <sheetProtection/>
  <mergeCells count="38">
    <mergeCell ref="AN1:AN2"/>
    <mergeCell ref="AO1:AO2"/>
    <mergeCell ref="U1:V1"/>
    <mergeCell ref="T1:T2"/>
    <mergeCell ref="A4:AL4"/>
    <mergeCell ref="A5:AL5"/>
    <mergeCell ref="AH1:AH2"/>
    <mergeCell ref="AI1:AI2"/>
    <mergeCell ref="AJ1:AJ2"/>
    <mergeCell ref="AK1:AK2"/>
    <mergeCell ref="Z1:Z2"/>
    <mergeCell ref="AA1:AA2"/>
    <mergeCell ref="AB1:AB2"/>
    <mergeCell ref="AL1:AL2"/>
    <mergeCell ref="AM1:AM2"/>
    <mergeCell ref="AC1:AC2"/>
    <mergeCell ref="AD1:AD2"/>
    <mergeCell ref="AE1:AE2"/>
    <mergeCell ref="AF1:AF2"/>
    <mergeCell ref="AG1:AG2"/>
    <mergeCell ref="M1:M2"/>
    <mergeCell ref="N1:Q1"/>
    <mergeCell ref="R1:R2"/>
    <mergeCell ref="S1:S2"/>
    <mergeCell ref="W1:W2"/>
    <mergeCell ref="X1:Y1"/>
    <mergeCell ref="G1:G2"/>
    <mergeCell ref="H1:H2"/>
    <mergeCell ref="I1:I2"/>
    <mergeCell ref="J1:J2"/>
    <mergeCell ref="K1:K2"/>
    <mergeCell ref="L1:L2"/>
    <mergeCell ref="A1:A2"/>
    <mergeCell ref="B1:B2"/>
    <mergeCell ref="C1:C2"/>
    <mergeCell ref="D1:D2"/>
    <mergeCell ref="E1:E2"/>
    <mergeCell ref="F1:F2"/>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Q114"/>
  <sheetViews>
    <sheetView zoomScale="70" zoomScaleNormal="70" zoomScalePageLayoutView="0" workbookViewId="0" topLeftCell="A1">
      <pane xSplit="5" ySplit="2" topLeftCell="H102" activePane="bottomRight" state="frozen"/>
      <selection pane="topLeft" activeCell="A1" sqref="A1"/>
      <selection pane="topRight" activeCell="F1" sqref="F1"/>
      <selection pane="bottomLeft" activeCell="A3" sqref="A3"/>
      <selection pane="bottomRight" activeCell="N102" sqref="N102:N105"/>
    </sheetView>
  </sheetViews>
  <sheetFormatPr defaultColWidth="11.421875" defaultRowHeight="15"/>
  <cols>
    <col min="1" max="1" width="5.8515625" style="6" customWidth="1"/>
    <col min="2" max="2" width="12.00390625" style="6" customWidth="1"/>
    <col min="3" max="3" width="18.140625" style="6" customWidth="1"/>
    <col min="4" max="4" width="23.7109375" style="6" customWidth="1"/>
    <col min="5" max="5" width="21.8515625" style="6" bestFit="1" customWidth="1"/>
    <col min="6" max="6" width="27.57421875" style="6" customWidth="1"/>
    <col min="7" max="7" width="12.7109375" style="6" customWidth="1"/>
    <col min="8" max="8" width="11.8515625" style="6" customWidth="1"/>
    <col min="9" max="9" width="19.7109375" style="6" customWidth="1"/>
    <col min="10" max="10" width="17.421875" style="6" customWidth="1"/>
    <col min="11" max="11" width="14.00390625" style="6" customWidth="1"/>
    <col min="12" max="12" width="14.8515625" style="6" customWidth="1"/>
    <col min="13" max="13" width="20.28125" style="6" customWidth="1"/>
    <col min="14" max="14" width="6.7109375" style="6" customWidth="1"/>
    <col min="15" max="15" width="9.57421875" style="6" customWidth="1"/>
    <col min="16" max="16" width="8.7109375" style="6" customWidth="1"/>
    <col min="17" max="17" width="10.28125" style="6" customWidth="1"/>
    <col min="18" max="18" width="15.57421875" style="6" customWidth="1"/>
    <col min="19" max="19" width="12.140625" style="6" customWidth="1"/>
    <col min="20" max="20" width="20.140625" style="6" customWidth="1"/>
    <col min="21" max="21" width="18.421875" style="6" customWidth="1"/>
    <col min="22" max="22" width="19.8515625" style="6" customWidth="1"/>
    <col min="23" max="23" width="7.140625" style="6" customWidth="1"/>
    <col min="24" max="24" width="11.28125" style="6" customWidth="1"/>
    <col min="25" max="25" width="11.421875" style="6" customWidth="1"/>
    <col min="26" max="26" width="60.8515625" style="6" customWidth="1"/>
    <col min="27" max="38" width="11.421875" style="6" customWidth="1"/>
    <col min="39" max="39" width="14.8515625" style="6" customWidth="1"/>
    <col min="40" max="40" width="15.140625" style="6" customWidth="1"/>
    <col min="41" max="16384" width="11.421875" style="6" customWidth="1"/>
  </cols>
  <sheetData>
    <row r="1" spans="1:41" ht="12.75" customHeight="1">
      <c r="A1" s="217" t="s">
        <v>0</v>
      </c>
      <c r="B1" s="217" t="s">
        <v>2307</v>
      </c>
      <c r="C1" s="217" t="s">
        <v>84</v>
      </c>
      <c r="D1" s="217" t="s">
        <v>85</v>
      </c>
      <c r="E1" s="217" t="s">
        <v>2416</v>
      </c>
      <c r="F1" s="217" t="s">
        <v>87</v>
      </c>
      <c r="G1" s="217" t="s">
        <v>2417</v>
      </c>
      <c r="H1" s="217" t="s">
        <v>2418</v>
      </c>
      <c r="I1" s="217" t="s">
        <v>2419</v>
      </c>
      <c r="J1" s="223" t="s">
        <v>2420</v>
      </c>
      <c r="K1" s="217" t="s">
        <v>2421</v>
      </c>
      <c r="L1" s="217" t="s">
        <v>2422</v>
      </c>
      <c r="M1" s="217" t="s">
        <v>2423</v>
      </c>
      <c r="N1" s="217" t="s">
        <v>2424</v>
      </c>
      <c r="O1" s="217"/>
      <c r="P1" s="217"/>
      <c r="Q1" s="217"/>
      <c r="R1" s="217" t="s">
        <v>2429</v>
      </c>
      <c r="S1" s="217" t="s">
        <v>2430</v>
      </c>
      <c r="T1" s="217" t="s">
        <v>2431</v>
      </c>
      <c r="U1" s="218" t="s">
        <v>1</v>
      </c>
      <c r="V1" s="219"/>
      <c r="W1" s="217" t="s">
        <v>2432</v>
      </c>
      <c r="X1" s="217" t="s">
        <v>2433</v>
      </c>
      <c r="Y1" s="217"/>
      <c r="Z1" s="217" t="s">
        <v>2401</v>
      </c>
      <c r="AA1" s="217" t="s">
        <v>2402</v>
      </c>
      <c r="AB1" s="217" t="s">
        <v>2403</v>
      </c>
      <c r="AC1" s="217" t="s">
        <v>2386</v>
      </c>
      <c r="AD1" s="217" t="s">
        <v>2387</v>
      </c>
      <c r="AE1" s="217" t="s">
        <v>2388</v>
      </c>
      <c r="AF1" s="217" t="s">
        <v>2389</v>
      </c>
      <c r="AG1" s="217" t="s">
        <v>2390</v>
      </c>
      <c r="AH1" s="217" t="s">
        <v>2391</v>
      </c>
      <c r="AI1" s="217" t="s">
        <v>2392</v>
      </c>
      <c r="AJ1" s="217" t="s">
        <v>2393</v>
      </c>
      <c r="AK1" s="217" t="s">
        <v>2394</v>
      </c>
      <c r="AL1" s="217" t="s">
        <v>2395</v>
      </c>
      <c r="AM1" s="220" t="s">
        <v>2396</v>
      </c>
      <c r="AN1" s="220" t="s">
        <v>2397</v>
      </c>
      <c r="AO1" s="217" t="s">
        <v>2398</v>
      </c>
    </row>
    <row r="2" spans="1:41" ht="38.25">
      <c r="A2" s="217"/>
      <c r="B2" s="217"/>
      <c r="C2" s="217"/>
      <c r="D2" s="217"/>
      <c r="E2" s="217"/>
      <c r="F2" s="217"/>
      <c r="G2" s="217"/>
      <c r="H2" s="217"/>
      <c r="I2" s="217"/>
      <c r="J2" s="223"/>
      <c r="K2" s="217"/>
      <c r="L2" s="217"/>
      <c r="M2" s="217"/>
      <c r="N2" s="40" t="s">
        <v>2425</v>
      </c>
      <c r="O2" s="40" t="s">
        <v>2426</v>
      </c>
      <c r="P2" s="40" t="s">
        <v>2427</v>
      </c>
      <c r="Q2" s="40" t="s">
        <v>2428</v>
      </c>
      <c r="R2" s="217"/>
      <c r="S2" s="217"/>
      <c r="T2" s="217"/>
      <c r="U2" s="40" t="s">
        <v>2399</v>
      </c>
      <c r="V2" s="40" t="s">
        <v>2400</v>
      </c>
      <c r="W2" s="217"/>
      <c r="X2" s="40" t="s">
        <v>2434</v>
      </c>
      <c r="Y2" s="40" t="s">
        <v>2435</v>
      </c>
      <c r="Z2" s="217"/>
      <c r="AA2" s="217"/>
      <c r="AB2" s="217"/>
      <c r="AC2" s="217"/>
      <c r="AD2" s="217"/>
      <c r="AE2" s="217"/>
      <c r="AF2" s="217"/>
      <c r="AG2" s="217"/>
      <c r="AH2" s="217"/>
      <c r="AI2" s="217"/>
      <c r="AJ2" s="217"/>
      <c r="AK2" s="217"/>
      <c r="AL2" s="217"/>
      <c r="AM2" s="220"/>
      <c r="AN2" s="220"/>
      <c r="AO2" s="217"/>
    </row>
    <row r="3" spans="1:41" ht="79.5" customHeight="1">
      <c r="A3" s="1">
        <v>1</v>
      </c>
      <c r="B3" s="1" t="s">
        <v>4</v>
      </c>
      <c r="C3" s="1" t="s">
        <v>4</v>
      </c>
      <c r="D3" s="1">
        <v>1</v>
      </c>
      <c r="E3" s="1" t="s">
        <v>218</v>
      </c>
      <c r="F3" s="1" t="s">
        <v>220</v>
      </c>
      <c r="G3" s="2" t="s">
        <v>2449</v>
      </c>
      <c r="H3" s="1" t="s">
        <v>4166</v>
      </c>
      <c r="I3" s="1" t="s">
        <v>4127</v>
      </c>
      <c r="J3" s="63">
        <v>29104391</v>
      </c>
      <c r="K3" s="1" t="s">
        <v>2438</v>
      </c>
      <c r="L3" s="1">
        <v>3447000</v>
      </c>
      <c r="M3" s="1" t="s">
        <v>3735</v>
      </c>
      <c r="N3" s="1" t="s">
        <v>4181</v>
      </c>
      <c r="O3" s="1">
        <v>3428</v>
      </c>
      <c r="P3" s="64">
        <v>43073</v>
      </c>
      <c r="Q3" s="64">
        <v>46724</v>
      </c>
      <c r="R3" s="62" t="s">
        <v>2440</v>
      </c>
      <c r="S3" s="29" t="s">
        <v>2441</v>
      </c>
      <c r="T3" s="1" t="s">
        <v>2443</v>
      </c>
      <c r="U3" s="9" t="s">
        <v>8</v>
      </c>
      <c r="V3" s="9" t="s">
        <v>2613</v>
      </c>
      <c r="W3" s="9">
        <v>2641</v>
      </c>
      <c r="X3" s="60">
        <v>103192.71</v>
      </c>
      <c r="Y3" s="60">
        <v>101738.03</v>
      </c>
      <c r="Z3" s="2" t="s">
        <v>3995</v>
      </c>
      <c r="AA3" s="47">
        <v>43726</v>
      </c>
      <c r="AB3" s="2" t="s">
        <v>3926</v>
      </c>
      <c r="AC3" s="2">
        <v>71</v>
      </c>
      <c r="AD3" s="2">
        <v>45</v>
      </c>
      <c r="AE3" s="49">
        <v>5.919</v>
      </c>
      <c r="AF3" s="2">
        <v>24</v>
      </c>
      <c r="AG3" s="102">
        <f>AE3*AC3*AF3*0.0036</f>
        <v>36.309513599999995</v>
      </c>
      <c r="AH3" s="102">
        <f>AE3*AD3*AF3*0.0036</f>
        <v>23.013071999999994</v>
      </c>
      <c r="AI3" s="2">
        <v>30</v>
      </c>
      <c r="AJ3" s="1">
        <v>12</v>
      </c>
      <c r="AK3" s="1">
        <v>0.61</v>
      </c>
      <c r="AL3" s="1">
        <v>0.68</v>
      </c>
      <c r="AM3" s="117">
        <f>AG3*AI3*AJ3*AK3</f>
        <v>7973.56918656</v>
      </c>
      <c r="AN3" s="118">
        <f>AH3*AI3*AJ3*AL3</f>
        <v>5633.6000256</v>
      </c>
      <c r="AO3" s="2" t="s">
        <v>2405</v>
      </c>
    </row>
    <row r="4" spans="1:41" ht="25.5">
      <c r="A4" s="1">
        <v>2</v>
      </c>
      <c r="B4" s="1" t="s">
        <v>4</v>
      </c>
      <c r="C4" s="1" t="s">
        <v>4</v>
      </c>
      <c r="D4" s="1">
        <v>1</v>
      </c>
      <c r="E4" s="1" t="s">
        <v>219</v>
      </c>
      <c r="F4" s="1" t="s">
        <v>220</v>
      </c>
      <c r="G4" s="2" t="s">
        <v>2449</v>
      </c>
      <c r="H4" s="1" t="s">
        <v>4166</v>
      </c>
      <c r="I4" s="1" t="s">
        <v>4127</v>
      </c>
      <c r="J4" s="63">
        <v>29104391</v>
      </c>
      <c r="K4" s="1" t="s">
        <v>2438</v>
      </c>
      <c r="L4" s="1">
        <v>3447000</v>
      </c>
      <c r="M4" s="1" t="s">
        <v>3735</v>
      </c>
      <c r="N4" s="1" t="s">
        <v>4181</v>
      </c>
      <c r="O4" s="1">
        <v>3428</v>
      </c>
      <c r="P4" s="64">
        <v>43073</v>
      </c>
      <c r="Q4" s="64">
        <v>46724</v>
      </c>
      <c r="R4" s="62" t="s">
        <v>2440</v>
      </c>
      <c r="S4" s="1" t="s">
        <v>2442</v>
      </c>
      <c r="T4" s="1" t="s">
        <v>2443</v>
      </c>
      <c r="U4" s="9" t="s">
        <v>221</v>
      </c>
      <c r="V4" s="9" t="s">
        <v>2614</v>
      </c>
      <c r="W4" s="9">
        <v>2611</v>
      </c>
      <c r="X4" s="60">
        <v>103153.28</v>
      </c>
      <c r="Y4" s="60">
        <v>101507.73</v>
      </c>
      <c r="Z4" s="2" t="s">
        <v>3741</v>
      </c>
      <c r="AA4" s="2"/>
      <c r="AB4" s="2"/>
      <c r="AC4" s="2"/>
      <c r="AD4" s="2"/>
      <c r="AE4" s="2"/>
      <c r="AF4" s="2"/>
      <c r="AG4" s="43"/>
      <c r="AH4" s="43"/>
      <c r="AI4" s="2"/>
      <c r="AJ4" s="1"/>
      <c r="AK4" s="1"/>
      <c r="AL4" s="1"/>
      <c r="AM4" s="44">
        <f>AG4*AI4*AJ4*AK4</f>
        <v>0</v>
      </c>
      <c r="AN4" s="45">
        <f aca="true" t="shared" si="0" ref="AN4:AN84">AH4*AI4*AJ4*AL4</f>
        <v>0</v>
      </c>
      <c r="AO4" s="2"/>
    </row>
    <row r="5" spans="1:41" ht="25.5">
      <c r="A5" s="1">
        <v>3</v>
      </c>
      <c r="B5" s="1" t="s">
        <v>4</v>
      </c>
      <c r="C5" s="1" t="s">
        <v>4</v>
      </c>
      <c r="D5" s="1">
        <v>1</v>
      </c>
      <c r="E5" s="1" t="s">
        <v>222</v>
      </c>
      <c r="F5" s="1" t="s">
        <v>223</v>
      </c>
      <c r="G5" s="2" t="s">
        <v>2449</v>
      </c>
      <c r="H5" s="1" t="s">
        <v>4166</v>
      </c>
      <c r="I5" s="1" t="s">
        <v>4127</v>
      </c>
      <c r="J5" s="63">
        <v>29104391</v>
      </c>
      <c r="K5" s="1" t="s">
        <v>2438</v>
      </c>
      <c r="L5" s="1">
        <v>3447000</v>
      </c>
      <c r="M5" s="1" t="s">
        <v>3735</v>
      </c>
      <c r="N5" s="1" t="s">
        <v>4181</v>
      </c>
      <c r="O5" s="1">
        <v>3428</v>
      </c>
      <c r="P5" s="64">
        <v>43073</v>
      </c>
      <c r="Q5" s="64">
        <v>46724</v>
      </c>
      <c r="R5" s="62" t="s">
        <v>2440</v>
      </c>
      <c r="S5" s="1" t="s">
        <v>2442</v>
      </c>
      <c r="T5" s="1" t="s">
        <v>2445</v>
      </c>
      <c r="U5" s="9" t="s">
        <v>224</v>
      </c>
      <c r="V5" s="9" t="s">
        <v>2615</v>
      </c>
      <c r="W5" s="9">
        <v>2605</v>
      </c>
      <c r="X5" s="60">
        <v>103159.01</v>
      </c>
      <c r="Y5" s="60">
        <v>101444.44</v>
      </c>
      <c r="Z5" s="2" t="s">
        <v>3741</v>
      </c>
      <c r="AA5" s="2"/>
      <c r="AB5" s="2"/>
      <c r="AC5" s="2"/>
      <c r="AD5" s="2"/>
      <c r="AE5" s="2"/>
      <c r="AF5" s="2"/>
      <c r="AG5" s="43"/>
      <c r="AH5" s="43"/>
      <c r="AI5" s="2"/>
      <c r="AJ5" s="1"/>
      <c r="AK5" s="1"/>
      <c r="AL5" s="1"/>
      <c r="AM5" s="44">
        <f aca="true" t="shared" si="1" ref="AM5:AM84">AG5*AI5*AJ5*AK5</f>
        <v>0</v>
      </c>
      <c r="AN5" s="45">
        <f t="shared" si="0"/>
        <v>0</v>
      </c>
      <c r="AO5" s="2"/>
    </row>
    <row r="6" spans="1:41" ht="25.5">
      <c r="A6" s="1">
        <v>4</v>
      </c>
      <c r="B6" s="1" t="s">
        <v>4</v>
      </c>
      <c r="C6" s="1" t="s">
        <v>4</v>
      </c>
      <c r="D6" s="1">
        <v>1</v>
      </c>
      <c r="E6" s="1" t="s">
        <v>225</v>
      </c>
      <c r="F6" s="1" t="s">
        <v>220</v>
      </c>
      <c r="G6" s="2" t="s">
        <v>2449</v>
      </c>
      <c r="H6" s="1" t="s">
        <v>4166</v>
      </c>
      <c r="I6" s="1" t="s">
        <v>4127</v>
      </c>
      <c r="J6" s="63">
        <v>29104391</v>
      </c>
      <c r="K6" s="1" t="s">
        <v>2438</v>
      </c>
      <c r="L6" s="1">
        <v>3447000</v>
      </c>
      <c r="M6" s="1" t="s">
        <v>3735</v>
      </c>
      <c r="N6" s="1" t="s">
        <v>4181</v>
      </c>
      <c r="O6" s="1">
        <v>3428</v>
      </c>
      <c r="P6" s="64">
        <v>43073</v>
      </c>
      <c r="Q6" s="64">
        <v>46724</v>
      </c>
      <c r="R6" s="62" t="s">
        <v>2440</v>
      </c>
      <c r="S6" s="1" t="s">
        <v>2441</v>
      </c>
      <c r="T6" s="1" t="s">
        <v>2443</v>
      </c>
      <c r="U6" s="9" t="s">
        <v>226</v>
      </c>
      <c r="V6" s="9" t="s">
        <v>2616</v>
      </c>
      <c r="W6" s="9">
        <v>2605</v>
      </c>
      <c r="X6" s="60">
        <v>103180.83</v>
      </c>
      <c r="Y6" s="60">
        <v>43142.33</v>
      </c>
      <c r="Z6" s="2" t="s">
        <v>3741</v>
      </c>
      <c r="AA6" s="2"/>
      <c r="AB6" s="2"/>
      <c r="AC6" s="2"/>
      <c r="AD6" s="2"/>
      <c r="AE6" s="2"/>
      <c r="AF6" s="2"/>
      <c r="AG6" s="43"/>
      <c r="AH6" s="43"/>
      <c r="AI6" s="2"/>
      <c r="AJ6" s="1"/>
      <c r="AK6" s="1"/>
      <c r="AL6" s="1"/>
      <c r="AM6" s="44">
        <f t="shared" si="1"/>
        <v>0</v>
      </c>
      <c r="AN6" s="45">
        <f t="shared" si="0"/>
        <v>0</v>
      </c>
      <c r="AO6" s="2"/>
    </row>
    <row r="7" spans="1:41" ht="25.5">
      <c r="A7" s="1">
        <v>5</v>
      </c>
      <c r="B7" s="1" t="s">
        <v>4</v>
      </c>
      <c r="C7" s="1" t="s">
        <v>4</v>
      </c>
      <c r="D7" s="1">
        <v>1</v>
      </c>
      <c r="E7" s="11" t="s">
        <v>227</v>
      </c>
      <c r="F7" s="9" t="s">
        <v>237</v>
      </c>
      <c r="G7" s="2" t="s">
        <v>2449</v>
      </c>
      <c r="H7" s="1" t="s">
        <v>4166</v>
      </c>
      <c r="I7" s="1" t="s">
        <v>4127</v>
      </c>
      <c r="J7" s="63">
        <v>29104391</v>
      </c>
      <c r="K7" s="1" t="s">
        <v>2438</v>
      </c>
      <c r="L7" s="1">
        <v>3447000</v>
      </c>
      <c r="M7" s="1" t="s">
        <v>3735</v>
      </c>
      <c r="N7" s="1" t="s">
        <v>4181</v>
      </c>
      <c r="O7" s="1">
        <v>3428</v>
      </c>
      <c r="P7" s="64">
        <v>43073</v>
      </c>
      <c r="Q7" s="64">
        <v>46724</v>
      </c>
      <c r="R7" s="62" t="s">
        <v>2440</v>
      </c>
      <c r="S7" s="1" t="s">
        <v>2442</v>
      </c>
      <c r="T7" s="9" t="s">
        <v>2444</v>
      </c>
      <c r="U7" s="9" t="s">
        <v>232</v>
      </c>
      <c r="V7" s="9" t="s">
        <v>2617</v>
      </c>
      <c r="W7" s="9">
        <v>2595</v>
      </c>
      <c r="X7" s="60">
        <v>103273.37</v>
      </c>
      <c r="Y7" s="60">
        <v>101303.61</v>
      </c>
      <c r="Z7" s="2" t="s">
        <v>3741</v>
      </c>
      <c r="AA7" s="2"/>
      <c r="AB7" s="2"/>
      <c r="AC7" s="2"/>
      <c r="AD7" s="2"/>
      <c r="AE7" s="2"/>
      <c r="AF7" s="2"/>
      <c r="AG7" s="43"/>
      <c r="AH7" s="43"/>
      <c r="AI7" s="2"/>
      <c r="AJ7" s="1"/>
      <c r="AK7" s="1"/>
      <c r="AL7" s="1"/>
      <c r="AM7" s="44">
        <f>AG7*AI7*AJ7*AK7</f>
        <v>0</v>
      </c>
      <c r="AN7" s="45">
        <f>AH7*AI7*AJ7*AL7</f>
        <v>0</v>
      </c>
      <c r="AO7" s="2" t="s">
        <v>2455</v>
      </c>
    </row>
    <row r="8" spans="1:41" ht="12.75">
      <c r="A8" s="215" t="s">
        <v>2414</v>
      </c>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119">
        <f>AM3</f>
        <v>7973.56918656</v>
      </c>
      <c r="AN8" s="119">
        <f>AN3</f>
        <v>5633.6000256</v>
      </c>
      <c r="AO8" s="2"/>
    </row>
    <row r="9" spans="1:41" ht="12.75">
      <c r="A9" s="213" t="s">
        <v>2415</v>
      </c>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73">
        <f>SUM(AM3:AM7)</f>
        <v>7973.56918656</v>
      </c>
      <c r="AN9" s="73">
        <f>SUM(AN3:AN7)</f>
        <v>5633.6000256</v>
      </c>
      <c r="AO9" s="2"/>
    </row>
    <row r="10" spans="1:41" ht="25.5">
      <c r="A10" s="1">
        <v>6</v>
      </c>
      <c r="B10" s="1" t="s">
        <v>4</v>
      </c>
      <c r="C10" s="1" t="s">
        <v>4</v>
      </c>
      <c r="D10" s="1">
        <v>2</v>
      </c>
      <c r="E10" s="11" t="s">
        <v>228</v>
      </c>
      <c r="F10" s="9" t="s">
        <v>237</v>
      </c>
      <c r="G10" s="2" t="s">
        <v>2450</v>
      </c>
      <c r="H10" s="1" t="s">
        <v>4166</v>
      </c>
      <c r="I10" s="1" t="s">
        <v>4127</v>
      </c>
      <c r="J10" s="63">
        <v>29104391</v>
      </c>
      <c r="K10" s="1" t="s">
        <v>2438</v>
      </c>
      <c r="L10" s="1">
        <v>3447000</v>
      </c>
      <c r="M10" s="1" t="s">
        <v>3735</v>
      </c>
      <c r="N10" s="1" t="s">
        <v>4181</v>
      </c>
      <c r="O10" s="1">
        <v>3428</v>
      </c>
      <c r="P10" s="64">
        <v>43073</v>
      </c>
      <c r="Q10" s="64">
        <v>46724</v>
      </c>
      <c r="R10" s="62" t="s">
        <v>2440</v>
      </c>
      <c r="S10" s="1" t="s">
        <v>2442</v>
      </c>
      <c r="T10" s="1" t="s">
        <v>2443</v>
      </c>
      <c r="U10" s="9" t="s">
        <v>233</v>
      </c>
      <c r="V10" s="9" t="s">
        <v>2618</v>
      </c>
      <c r="W10" s="9">
        <v>2594</v>
      </c>
      <c r="X10" s="60">
        <v>103276.98</v>
      </c>
      <c r="Y10" s="60">
        <v>101283.55</v>
      </c>
      <c r="Z10" s="2" t="s">
        <v>3741</v>
      </c>
      <c r="AA10" s="2"/>
      <c r="AB10" s="2"/>
      <c r="AC10" s="2"/>
      <c r="AD10" s="2"/>
      <c r="AE10" s="2"/>
      <c r="AF10" s="2"/>
      <c r="AG10" s="43"/>
      <c r="AH10" s="43"/>
      <c r="AI10" s="2"/>
      <c r="AJ10" s="1"/>
      <c r="AK10" s="1"/>
      <c r="AL10" s="1"/>
      <c r="AM10" s="44">
        <f t="shared" si="1"/>
        <v>0</v>
      </c>
      <c r="AN10" s="45">
        <f t="shared" si="0"/>
        <v>0</v>
      </c>
      <c r="AO10" s="2"/>
    </row>
    <row r="11" spans="1:41" ht="25.5">
      <c r="A11" s="1">
        <v>7</v>
      </c>
      <c r="B11" s="1" t="s">
        <v>4</v>
      </c>
      <c r="C11" s="1" t="s">
        <v>4</v>
      </c>
      <c r="D11" s="1">
        <v>2</v>
      </c>
      <c r="E11" s="11" t="s">
        <v>229</v>
      </c>
      <c r="F11" s="9" t="s">
        <v>238</v>
      </c>
      <c r="G11" s="2" t="s">
        <v>2451</v>
      </c>
      <c r="H11" s="1" t="s">
        <v>4166</v>
      </c>
      <c r="I11" s="1" t="s">
        <v>4127</v>
      </c>
      <c r="J11" s="63">
        <v>29104391</v>
      </c>
      <c r="K11" s="1" t="s">
        <v>2438</v>
      </c>
      <c r="L11" s="1">
        <v>3447000</v>
      </c>
      <c r="M11" s="1" t="s">
        <v>3735</v>
      </c>
      <c r="N11" s="1" t="s">
        <v>4181</v>
      </c>
      <c r="O11" s="1">
        <v>3428</v>
      </c>
      <c r="P11" s="64">
        <v>43073</v>
      </c>
      <c r="Q11" s="64">
        <v>46724</v>
      </c>
      <c r="R11" s="62" t="s">
        <v>2440</v>
      </c>
      <c r="S11" s="1" t="s">
        <v>2442</v>
      </c>
      <c r="T11" s="1" t="s">
        <v>2443</v>
      </c>
      <c r="U11" s="9" t="s">
        <v>234</v>
      </c>
      <c r="V11" s="9" t="s">
        <v>2619</v>
      </c>
      <c r="W11" s="9">
        <v>2575</v>
      </c>
      <c r="X11" s="60">
        <v>103773.18</v>
      </c>
      <c r="Y11" s="60">
        <v>100706.97</v>
      </c>
      <c r="Z11" s="2" t="s">
        <v>3741</v>
      </c>
      <c r="AA11" s="2"/>
      <c r="AB11" s="2"/>
      <c r="AC11" s="2"/>
      <c r="AD11" s="2"/>
      <c r="AE11" s="2"/>
      <c r="AF11" s="2"/>
      <c r="AG11" s="43"/>
      <c r="AH11" s="43"/>
      <c r="AI11" s="2"/>
      <c r="AJ11" s="1"/>
      <c r="AK11" s="1"/>
      <c r="AL11" s="1"/>
      <c r="AM11" s="44">
        <f t="shared" si="1"/>
        <v>0</v>
      </c>
      <c r="AN11" s="45">
        <f t="shared" si="0"/>
        <v>0</v>
      </c>
      <c r="AO11" s="2"/>
    </row>
    <row r="12" spans="1:41" ht="25.5">
      <c r="A12" s="1">
        <v>8</v>
      </c>
      <c r="B12" s="1" t="s">
        <v>4</v>
      </c>
      <c r="C12" s="1" t="s">
        <v>4</v>
      </c>
      <c r="D12" s="1">
        <v>2</v>
      </c>
      <c r="E12" s="11" t="s">
        <v>230</v>
      </c>
      <c r="F12" s="9" t="s">
        <v>239</v>
      </c>
      <c r="G12" s="2" t="s">
        <v>2451</v>
      </c>
      <c r="H12" s="1" t="s">
        <v>4166</v>
      </c>
      <c r="I12" s="1" t="s">
        <v>4127</v>
      </c>
      <c r="J12" s="63">
        <v>29104391</v>
      </c>
      <c r="K12" s="1" t="s">
        <v>2438</v>
      </c>
      <c r="L12" s="1">
        <v>3447000</v>
      </c>
      <c r="M12" s="1" t="s">
        <v>3735</v>
      </c>
      <c r="N12" s="1" t="s">
        <v>4181</v>
      </c>
      <c r="O12" s="1">
        <v>3428</v>
      </c>
      <c r="P12" s="64">
        <v>43073</v>
      </c>
      <c r="Q12" s="64">
        <v>46724</v>
      </c>
      <c r="R12" s="62" t="s">
        <v>2440</v>
      </c>
      <c r="S12" s="1" t="s">
        <v>2442</v>
      </c>
      <c r="T12" s="1" t="s">
        <v>2443</v>
      </c>
      <c r="U12" s="9" t="s">
        <v>235</v>
      </c>
      <c r="V12" s="9" t="s">
        <v>2620</v>
      </c>
      <c r="W12" s="9">
        <v>2569</v>
      </c>
      <c r="X12" s="60">
        <v>104001.45</v>
      </c>
      <c r="Y12" s="60">
        <v>100434.95</v>
      </c>
      <c r="Z12" s="2" t="s">
        <v>3741</v>
      </c>
      <c r="AA12" s="2"/>
      <c r="AB12" s="2"/>
      <c r="AC12" s="2"/>
      <c r="AD12" s="2"/>
      <c r="AE12" s="2"/>
      <c r="AF12" s="2"/>
      <c r="AG12" s="43"/>
      <c r="AH12" s="43"/>
      <c r="AI12" s="2"/>
      <c r="AJ12" s="1"/>
      <c r="AK12" s="1"/>
      <c r="AL12" s="1"/>
      <c r="AM12" s="44">
        <f t="shared" si="1"/>
        <v>0</v>
      </c>
      <c r="AN12" s="45">
        <f t="shared" si="0"/>
        <v>0</v>
      </c>
      <c r="AO12" s="2"/>
    </row>
    <row r="13" spans="1:41" ht="25.5">
      <c r="A13" s="1">
        <v>9</v>
      </c>
      <c r="B13" s="1" t="s">
        <v>4</v>
      </c>
      <c r="C13" s="1" t="s">
        <v>4</v>
      </c>
      <c r="D13" s="1">
        <v>2</v>
      </c>
      <c r="E13" s="11" t="s">
        <v>231</v>
      </c>
      <c r="F13" s="9" t="s">
        <v>242</v>
      </c>
      <c r="G13" s="2" t="s">
        <v>2451</v>
      </c>
      <c r="H13" s="1" t="s">
        <v>4166</v>
      </c>
      <c r="I13" s="1" t="s">
        <v>4127</v>
      </c>
      <c r="J13" s="63">
        <v>29104391</v>
      </c>
      <c r="K13" s="1" t="s">
        <v>2438</v>
      </c>
      <c r="L13" s="1">
        <v>3447000</v>
      </c>
      <c r="M13" s="1" t="s">
        <v>3735</v>
      </c>
      <c r="N13" s="1" t="s">
        <v>4181</v>
      </c>
      <c r="O13" s="1">
        <v>3428</v>
      </c>
      <c r="P13" s="64">
        <v>43073</v>
      </c>
      <c r="Q13" s="64">
        <v>46724</v>
      </c>
      <c r="R13" s="62" t="s">
        <v>2440</v>
      </c>
      <c r="S13" s="1" t="s">
        <v>2442</v>
      </c>
      <c r="T13" s="1" t="s">
        <v>2443</v>
      </c>
      <c r="U13" s="9" t="s">
        <v>236</v>
      </c>
      <c r="V13" s="9" t="s">
        <v>2621</v>
      </c>
      <c r="W13" s="9">
        <v>2565</v>
      </c>
      <c r="X13" s="60">
        <v>104224.34</v>
      </c>
      <c r="Y13" s="60">
        <v>100216.63</v>
      </c>
      <c r="Z13" s="2" t="s">
        <v>3741</v>
      </c>
      <c r="AA13" s="2"/>
      <c r="AB13" s="2"/>
      <c r="AC13" s="2"/>
      <c r="AD13" s="2"/>
      <c r="AE13" s="2"/>
      <c r="AF13" s="2"/>
      <c r="AG13" s="43"/>
      <c r="AH13" s="43"/>
      <c r="AI13" s="2"/>
      <c r="AJ13" s="1"/>
      <c r="AK13" s="1"/>
      <c r="AL13" s="1"/>
      <c r="AM13" s="44">
        <f t="shared" si="1"/>
        <v>0</v>
      </c>
      <c r="AN13" s="45">
        <f t="shared" si="0"/>
        <v>0</v>
      </c>
      <c r="AO13" s="2"/>
    </row>
    <row r="14" spans="1:41" ht="25.5">
      <c r="A14" s="1">
        <v>10</v>
      </c>
      <c r="B14" s="1" t="s">
        <v>4</v>
      </c>
      <c r="C14" s="1" t="s">
        <v>4</v>
      </c>
      <c r="D14" s="1">
        <v>2</v>
      </c>
      <c r="E14" s="1" t="s">
        <v>240</v>
      </c>
      <c r="F14" s="1" t="s">
        <v>241</v>
      </c>
      <c r="G14" s="2" t="s">
        <v>2451</v>
      </c>
      <c r="H14" s="1" t="s">
        <v>4166</v>
      </c>
      <c r="I14" s="1" t="s">
        <v>4127</v>
      </c>
      <c r="J14" s="63">
        <v>29104391</v>
      </c>
      <c r="K14" s="1" t="s">
        <v>2438</v>
      </c>
      <c r="L14" s="1">
        <v>3447000</v>
      </c>
      <c r="M14" s="1" t="s">
        <v>3735</v>
      </c>
      <c r="N14" s="1" t="s">
        <v>4181</v>
      </c>
      <c r="O14" s="1">
        <v>3428</v>
      </c>
      <c r="P14" s="64">
        <v>43073</v>
      </c>
      <c r="Q14" s="64">
        <v>46724</v>
      </c>
      <c r="R14" s="62" t="s">
        <v>2440</v>
      </c>
      <c r="S14" s="1" t="s">
        <v>2442</v>
      </c>
      <c r="T14" s="1" t="s">
        <v>2443</v>
      </c>
      <c r="U14" s="9" t="s">
        <v>243</v>
      </c>
      <c r="V14" s="9" t="s">
        <v>2622</v>
      </c>
      <c r="W14" s="9">
        <v>2561</v>
      </c>
      <c r="X14" s="60">
        <v>104722.8</v>
      </c>
      <c r="Y14" s="60">
        <v>99863.91</v>
      </c>
      <c r="Z14" s="2" t="s">
        <v>3741</v>
      </c>
      <c r="AA14" s="2"/>
      <c r="AB14" s="2"/>
      <c r="AC14" s="2"/>
      <c r="AD14" s="2"/>
      <c r="AE14" s="2"/>
      <c r="AF14" s="2"/>
      <c r="AG14" s="43"/>
      <c r="AH14" s="43"/>
      <c r="AI14" s="2"/>
      <c r="AJ14" s="1"/>
      <c r="AK14" s="1"/>
      <c r="AL14" s="1"/>
      <c r="AM14" s="44">
        <f t="shared" si="1"/>
        <v>0</v>
      </c>
      <c r="AN14" s="45">
        <f t="shared" si="0"/>
        <v>0</v>
      </c>
      <c r="AO14" s="2"/>
    </row>
    <row r="15" spans="1:41" ht="89.25" customHeight="1">
      <c r="A15" s="1">
        <v>11</v>
      </c>
      <c r="B15" s="1" t="s">
        <v>4</v>
      </c>
      <c r="C15" s="1" t="s">
        <v>4</v>
      </c>
      <c r="D15" s="1">
        <v>2</v>
      </c>
      <c r="E15" s="1" t="s">
        <v>244</v>
      </c>
      <c r="F15" s="1" t="s">
        <v>241</v>
      </c>
      <c r="G15" s="2" t="s">
        <v>2451</v>
      </c>
      <c r="H15" s="1" t="s">
        <v>4166</v>
      </c>
      <c r="I15" s="1" t="s">
        <v>4127</v>
      </c>
      <c r="J15" s="63">
        <v>29104391</v>
      </c>
      <c r="K15" s="1" t="s">
        <v>2438</v>
      </c>
      <c r="L15" s="1">
        <v>3447000</v>
      </c>
      <c r="M15" s="1" t="s">
        <v>3735</v>
      </c>
      <c r="N15" s="1" t="s">
        <v>4181</v>
      </c>
      <c r="O15" s="1">
        <v>3428</v>
      </c>
      <c r="P15" s="64">
        <v>43073</v>
      </c>
      <c r="Q15" s="64">
        <v>46724</v>
      </c>
      <c r="R15" s="62" t="s">
        <v>2440</v>
      </c>
      <c r="S15" s="1" t="s">
        <v>2442</v>
      </c>
      <c r="T15" s="1" t="s">
        <v>2443</v>
      </c>
      <c r="U15" s="9" t="s">
        <v>245</v>
      </c>
      <c r="V15" s="9" t="s">
        <v>2623</v>
      </c>
      <c r="W15" s="9">
        <v>2561</v>
      </c>
      <c r="X15" s="60">
        <v>104733.1</v>
      </c>
      <c r="Y15" s="60">
        <v>99845.67</v>
      </c>
      <c r="Z15" s="2" t="s">
        <v>4135</v>
      </c>
      <c r="AA15" s="47">
        <v>43558</v>
      </c>
      <c r="AB15" s="2" t="s">
        <v>4134</v>
      </c>
      <c r="AC15" s="2">
        <v>297</v>
      </c>
      <c r="AD15" s="2">
        <v>170</v>
      </c>
      <c r="AE15" s="49">
        <v>147.92000000000002</v>
      </c>
      <c r="AF15" s="2">
        <v>24</v>
      </c>
      <c r="AG15" s="102">
        <f>AE15*AC15*AF15*0.0036</f>
        <v>3795.745536000001</v>
      </c>
      <c r="AH15" s="102">
        <f>AE15*AD15*AF15*0.0036</f>
        <v>2172.6489600000004</v>
      </c>
      <c r="AI15" s="2">
        <v>30</v>
      </c>
      <c r="AJ15" s="1">
        <v>12</v>
      </c>
      <c r="AK15" s="1">
        <v>0.87</v>
      </c>
      <c r="AL15" s="1">
        <v>1.04</v>
      </c>
      <c r="AM15" s="117">
        <f>AG15*AI15*AJ15*AK15</f>
        <v>1188827.5018752003</v>
      </c>
      <c r="AN15" s="118">
        <f>AH15*AI15*AJ15*AL15</f>
        <v>813439.7706240002</v>
      </c>
      <c r="AO15" s="2" t="s">
        <v>2455</v>
      </c>
    </row>
    <row r="16" spans="1:41" ht="63.75">
      <c r="A16" s="1">
        <v>12</v>
      </c>
      <c r="B16" s="1" t="s">
        <v>4</v>
      </c>
      <c r="C16" s="1" t="s">
        <v>4</v>
      </c>
      <c r="D16" s="1">
        <v>2</v>
      </c>
      <c r="E16" s="1" t="s">
        <v>246</v>
      </c>
      <c r="F16" s="1" t="s">
        <v>241</v>
      </c>
      <c r="G16" s="2" t="s">
        <v>2451</v>
      </c>
      <c r="H16" s="1" t="s">
        <v>4166</v>
      </c>
      <c r="I16" s="1" t="s">
        <v>4127</v>
      </c>
      <c r="J16" s="63">
        <v>29104391</v>
      </c>
      <c r="K16" s="1" t="s">
        <v>2438</v>
      </c>
      <c r="L16" s="1">
        <v>3447000</v>
      </c>
      <c r="M16" s="1" t="s">
        <v>3735</v>
      </c>
      <c r="N16" s="1" t="s">
        <v>4181</v>
      </c>
      <c r="O16" s="1">
        <v>3428</v>
      </c>
      <c r="P16" s="64">
        <v>43073</v>
      </c>
      <c r="Q16" s="64">
        <v>46724</v>
      </c>
      <c r="R16" s="62" t="s">
        <v>2440</v>
      </c>
      <c r="S16" s="1" t="s">
        <v>2441</v>
      </c>
      <c r="T16" s="1" t="s">
        <v>2443</v>
      </c>
      <c r="U16" s="9" t="s">
        <v>248</v>
      </c>
      <c r="V16" s="9" t="s">
        <v>2623</v>
      </c>
      <c r="W16" s="9">
        <v>2560</v>
      </c>
      <c r="X16" s="60">
        <v>104746.31</v>
      </c>
      <c r="Y16" s="60">
        <v>99845.67</v>
      </c>
      <c r="Z16" s="2" t="s">
        <v>3752</v>
      </c>
      <c r="AA16" s="67">
        <v>43755</v>
      </c>
      <c r="AB16" s="50">
        <v>0.4388888888888889</v>
      </c>
      <c r="AC16" s="103"/>
      <c r="AD16" s="103"/>
      <c r="AE16" s="103"/>
      <c r="AF16" s="103"/>
      <c r="AG16" s="103"/>
      <c r="AH16" s="103"/>
      <c r="AI16" s="103"/>
      <c r="AJ16" s="103"/>
      <c r="AK16" s="103"/>
      <c r="AL16" s="103"/>
      <c r="AM16" s="117">
        <f t="shared" si="1"/>
        <v>0</v>
      </c>
      <c r="AN16" s="118">
        <f t="shared" si="0"/>
        <v>0</v>
      </c>
      <c r="AO16" s="2" t="s">
        <v>2455</v>
      </c>
    </row>
    <row r="17" spans="1:41" ht="25.5">
      <c r="A17" s="1">
        <v>13</v>
      </c>
      <c r="B17" s="1" t="s">
        <v>4</v>
      </c>
      <c r="C17" s="1" t="s">
        <v>4</v>
      </c>
      <c r="D17" s="1">
        <v>2</v>
      </c>
      <c r="E17" s="1" t="s">
        <v>249</v>
      </c>
      <c r="F17" s="1" t="s">
        <v>250</v>
      </c>
      <c r="G17" s="2" t="s">
        <v>2451</v>
      </c>
      <c r="H17" s="1" t="s">
        <v>4166</v>
      </c>
      <c r="I17" s="1" t="s">
        <v>4127</v>
      </c>
      <c r="J17" s="63">
        <v>29104391</v>
      </c>
      <c r="K17" s="1" t="s">
        <v>2438</v>
      </c>
      <c r="L17" s="1">
        <v>3447000</v>
      </c>
      <c r="M17" s="1" t="s">
        <v>3735</v>
      </c>
      <c r="N17" s="1" t="s">
        <v>4181</v>
      </c>
      <c r="O17" s="1">
        <v>3428</v>
      </c>
      <c r="P17" s="64">
        <v>43073</v>
      </c>
      <c r="Q17" s="64">
        <v>46724</v>
      </c>
      <c r="R17" s="62" t="s">
        <v>2440</v>
      </c>
      <c r="S17" s="1" t="s">
        <v>2442</v>
      </c>
      <c r="T17" s="1" t="s">
        <v>2443</v>
      </c>
      <c r="U17" s="9" t="s">
        <v>62</v>
      </c>
      <c r="V17" s="9" t="s">
        <v>251</v>
      </c>
      <c r="W17" s="9">
        <v>2560</v>
      </c>
      <c r="X17" s="60">
        <v>104740.16</v>
      </c>
      <c r="Y17" s="60">
        <v>99785.24</v>
      </c>
      <c r="Z17" s="2" t="s">
        <v>3741</v>
      </c>
      <c r="AA17" s="2"/>
      <c r="AB17" s="2"/>
      <c r="AC17" s="2"/>
      <c r="AD17" s="2"/>
      <c r="AE17" s="2"/>
      <c r="AF17" s="2"/>
      <c r="AG17" s="43"/>
      <c r="AH17" s="43"/>
      <c r="AI17" s="2"/>
      <c r="AJ17" s="1"/>
      <c r="AK17" s="1"/>
      <c r="AL17" s="1"/>
      <c r="AM17" s="44">
        <f t="shared" si="1"/>
        <v>0</v>
      </c>
      <c r="AN17" s="45">
        <f t="shared" si="0"/>
        <v>0</v>
      </c>
      <c r="AO17" s="2"/>
    </row>
    <row r="18" spans="1:41" ht="12.75">
      <c r="A18" s="215" t="s">
        <v>2414</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119">
        <f>AM15+AM16</f>
        <v>1188827.5018752003</v>
      </c>
      <c r="AN18" s="119">
        <f>AN15+AN16</f>
        <v>813439.7706240002</v>
      </c>
      <c r="AO18" s="2"/>
    </row>
    <row r="19" spans="1:41" ht="12.75">
      <c r="A19" s="213" t="s">
        <v>2415</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73">
        <f>SUM(AM10:AM17)</f>
        <v>1188827.5018752003</v>
      </c>
      <c r="AN19" s="73">
        <f>SUM(AN10:AN17)</f>
        <v>813439.7706240002</v>
      </c>
      <c r="AO19" s="2"/>
    </row>
    <row r="20" spans="1:41" ht="25.5">
      <c r="A20" s="1">
        <v>14</v>
      </c>
      <c r="B20" s="1" t="s">
        <v>4</v>
      </c>
      <c r="C20" s="1" t="s">
        <v>4</v>
      </c>
      <c r="D20" s="1">
        <v>3</v>
      </c>
      <c r="E20" s="1" t="s">
        <v>252</v>
      </c>
      <c r="F20" s="1" t="s">
        <v>247</v>
      </c>
      <c r="G20" s="1" t="s">
        <v>2451</v>
      </c>
      <c r="H20" s="1" t="s">
        <v>4166</v>
      </c>
      <c r="I20" s="1" t="s">
        <v>4127</v>
      </c>
      <c r="J20" s="63">
        <v>29104391</v>
      </c>
      <c r="K20" s="1" t="s">
        <v>2438</v>
      </c>
      <c r="L20" s="1">
        <v>3447000</v>
      </c>
      <c r="M20" s="1" t="s">
        <v>3735</v>
      </c>
      <c r="N20" s="1" t="s">
        <v>4181</v>
      </c>
      <c r="O20" s="1">
        <v>3428</v>
      </c>
      <c r="P20" s="64">
        <v>43073</v>
      </c>
      <c r="Q20" s="64">
        <v>46724</v>
      </c>
      <c r="R20" s="62" t="s">
        <v>2440</v>
      </c>
      <c r="S20" s="1" t="s">
        <v>2442</v>
      </c>
      <c r="T20" s="1" t="s">
        <v>2443</v>
      </c>
      <c r="U20" s="9" t="s">
        <v>253</v>
      </c>
      <c r="V20" s="9" t="s">
        <v>2624</v>
      </c>
      <c r="W20" s="9">
        <v>2559</v>
      </c>
      <c r="X20" s="60">
        <v>104805.08</v>
      </c>
      <c r="Y20" s="60">
        <v>99795.51</v>
      </c>
      <c r="Z20" s="2" t="s">
        <v>3753</v>
      </c>
      <c r="AA20" s="67">
        <v>43762</v>
      </c>
      <c r="AB20" s="2" t="s">
        <v>3754</v>
      </c>
      <c r="AC20" s="2">
        <v>2</v>
      </c>
      <c r="AD20" s="2">
        <v>16</v>
      </c>
      <c r="AE20" s="2">
        <v>0.911</v>
      </c>
      <c r="AF20" s="2">
        <v>24</v>
      </c>
      <c r="AG20" s="43">
        <f>AE20*AC20*AF20*0.0036</f>
        <v>0.1574208</v>
      </c>
      <c r="AH20" s="43">
        <f>AE20*AD20*AF20*0.0036</f>
        <v>1.2593664</v>
      </c>
      <c r="AI20" s="2">
        <v>30</v>
      </c>
      <c r="AJ20" s="1">
        <v>12</v>
      </c>
      <c r="AK20" s="1">
        <v>0.49</v>
      </c>
      <c r="AL20" s="1">
        <v>0.61</v>
      </c>
      <c r="AM20" s="117">
        <f t="shared" si="1"/>
        <v>27.76902912</v>
      </c>
      <c r="AN20" s="118">
        <f t="shared" si="0"/>
        <v>276.55686144</v>
      </c>
      <c r="AO20" s="2" t="s">
        <v>2455</v>
      </c>
    </row>
    <row r="21" spans="1:41" ht="71.25" customHeight="1">
      <c r="A21" s="1">
        <v>15</v>
      </c>
      <c r="B21" s="1" t="s">
        <v>4</v>
      </c>
      <c r="C21" s="1" t="s">
        <v>4</v>
      </c>
      <c r="D21" s="1">
        <v>3</v>
      </c>
      <c r="E21" s="1" t="s">
        <v>316</v>
      </c>
      <c r="F21" s="1" t="s">
        <v>2254</v>
      </c>
      <c r="G21" s="1" t="s">
        <v>2451</v>
      </c>
      <c r="H21" s="1" t="s">
        <v>4166</v>
      </c>
      <c r="I21" s="1" t="s">
        <v>4127</v>
      </c>
      <c r="J21" s="63">
        <v>29104391</v>
      </c>
      <c r="K21" s="1" t="s">
        <v>2438</v>
      </c>
      <c r="L21" s="1">
        <v>3447000</v>
      </c>
      <c r="M21" s="1" t="s">
        <v>3735</v>
      </c>
      <c r="N21" s="1" t="s">
        <v>4181</v>
      </c>
      <c r="O21" s="1">
        <v>3428</v>
      </c>
      <c r="P21" s="64">
        <v>43073</v>
      </c>
      <c r="Q21" s="64">
        <v>46724</v>
      </c>
      <c r="R21" s="62" t="s">
        <v>2440</v>
      </c>
      <c r="S21" s="1" t="s">
        <v>2442</v>
      </c>
      <c r="T21" s="1" t="s">
        <v>2443</v>
      </c>
      <c r="U21" s="9" t="s">
        <v>2023</v>
      </c>
      <c r="V21" s="9" t="s">
        <v>2625</v>
      </c>
      <c r="W21" s="9">
        <v>2559</v>
      </c>
      <c r="X21" s="60">
        <v>105167.37</v>
      </c>
      <c r="Y21" s="60">
        <v>99821.06</v>
      </c>
      <c r="Z21" s="2" t="s">
        <v>4136</v>
      </c>
      <c r="AA21" s="47">
        <v>43755</v>
      </c>
      <c r="AB21" s="50">
        <v>0.5111111111111112</v>
      </c>
      <c r="AC21" s="2"/>
      <c r="AD21" s="2"/>
      <c r="AE21" s="2"/>
      <c r="AF21" s="2"/>
      <c r="AG21" s="43"/>
      <c r="AH21" s="43"/>
      <c r="AI21" s="2"/>
      <c r="AJ21" s="1"/>
      <c r="AK21" s="1"/>
      <c r="AL21" s="1"/>
      <c r="AM21" s="117">
        <v>100.56724571672244</v>
      </c>
      <c r="AN21" s="118">
        <v>305.30973145479106</v>
      </c>
      <c r="AO21" s="2"/>
    </row>
    <row r="22" spans="1:41" ht="38.25">
      <c r="A22" s="1">
        <v>16</v>
      </c>
      <c r="B22" s="1" t="s">
        <v>4</v>
      </c>
      <c r="C22" s="1" t="s">
        <v>4</v>
      </c>
      <c r="D22" s="1">
        <v>3</v>
      </c>
      <c r="E22" s="1" t="s">
        <v>254</v>
      </c>
      <c r="F22" s="1" t="s">
        <v>255</v>
      </c>
      <c r="G22" s="1" t="s">
        <v>2451</v>
      </c>
      <c r="H22" s="1" t="s">
        <v>4166</v>
      </c>
      <c r="I22" s="1" t="s">
        <v>4127</v>
      </c>
      <c r="J22" s="63">
        <v>29104391</v>
      </c>
      <c r="K22" s="1" t="s">
        <v>2438</v>
      </c>
      <c r="L22" s="1">
        <v>3447000</v>
      </c>
      <c r="M22" s="1" t="s">
        <v>3735</v>
      </c>
      <c r="N22" s="1" t="s">
        <v>4181</v>
      </c>
      <c r="O22" s="1">
        <v>3428</v>
      </c>
      <c r="P22" s="64">
        <v>43073</v>
      </c>
      <c r="Q22" s="64">
        <v>46724</v>
      </c>
      <c r="R22" s="62" t="s">
        <v>2440</v>
      </c>
      <c r="S22" s="1" t="s">
        <v>2441</v>
      </c>
      <c r="T22" s="1" t="s">
        <v>2443</v>
      </c>
      <c r="U22" s="9" t="s">
        <v>256</v>
      </c>
      <c r="V22" s="9" t="s">
        <v>2626</v>
      </c>
      <c r="W22" s="9">
        <v>2558</v>
      </c>
      <c r="X22" s="60">
        <v>105340.67</v>
      </c>
      <c r="Y22" s="60">
        <v>99839.79</v>
      </c>
      <c r="Z22" s="2" t="s">
        <v>4046</v>
      </c>
      <c r="AA22" s="67"/>
      <c r="AB22" s="2"/>
      <c r="AC22" s="2"/>
      <c r="AD22" s="2"/>
      <c r="AE22" s="2"/>
      <c r="AF22" s="2"/>
      <c r="AG22" s="43"/>
      <c r="AH22" s="43"/>
      <c r="AI22" s="2"/>
      <c r="AJ22" s="1"/>
      <c r="AK22" s="1"/>
      <c r="AL22" s="1"/>
      <c r="AM22" s="117">
        <f>AVERAGE(AM23:AM24)</f>
        <v>915481.7925119998</v>
      </c>
      <c r="AN22" s="117">
        <f>AVERAGE(AN23:AN24)</f>
        <v>848418.7032115199</v>
      </c>
      <c r="AO22" s="2" t="s">
        <v>2455</v>
      </c>
    </row>
    <row r="23" spans="1:41" ht="27" customHeight="1">
      <c r="A23" s="1"/>
      <c r="B23" s="1"/>
      <c r="C23" s="1"/>
      <c r="D23" s="1"/>
      <c r="E23" s="1"/>
      <c r="F23" s="1"/>
      <c r="G23" s="1"/>
      <c r="H23" s="1"/>
      <c r="I23" s="1"/>
      <c r="J23" s="63"/>
      <c r="K23" s="1"/>
      <c r="L23" s="1"/>
      <c r="M23" s="1"/>
      <c r="N23" s="1"/>
      <c r="O23" s="1"/>
      <c r="P23" s="64"/>
      <c r="Q23" s="64"/>
      <c r="R23" s="62"/>
      <c r="S23" s="1"/>
      <c r="T23" s="1"/>
      <c r="U23" s="9"/>
      <c r="V23" s="9"/>
      <c r="W23" s="9"/>
      <c r="X23" s="60"/>
      <c r="Y23" s="60"/>
      <c r="Z23" s="2" t="s">
        <v>3753</v>
      </c>
      <c r="AA23" s="67">
        <v>43755</v>
      </c>
      <c r="AB23" s="2" t="s">
        <v>3755</v>
      </c>
      <c r="AC23" s="2">
        <v>320</v>
      </c>
      <c r="AD23" s="2">
        <v>392</v>
      </c>
      <c r="AE23" s="2">
        <v>178.101</v>
      </c>
      <c r="AF23" s="2">
        <v>24</v>
      </c>
      <c r="AG23" s="102">
        <f>AE23*AC23*AF23*0.0036</f>
        <v>4924.136447999999</v>
      </c>
      <c r="AH23" s="102">
        <f>AE23*AD23*AF23*0.0036</f>
        <v>6032.0671488</v>
      </c>
      <c r="AI23" s="2">
        <v>30</v>
      </c>
      <c r="AJ23" s="1">
        <v>12</v>
      </c>
      <c r="AK23" s="1">
        <v>0.63</v>
      </c>
      <c r="AL23" s="1">
        <v>0.53</v>
      </c>
      <c r="AM23" s="124">
        <f>AG23*AI23*AJ23*AK23</f>
        <v>1116794.1464063998</v>
      </c>
      <c r="AN23" s="125">
        <f>AH23*AI23*AJ23*AL23</f>
        <v>1150918.41199104</v>
      </c>
      <c r="AO23" s="2"/>
    </row>
    <row r="24" spans="1:41" ht="30.75" customHeight="1">
      <c r="A24" s="1"/>
      <c r="B24" s="1"/>
      <c r="C24" s="1"/>
      <c r="D24" s="1"/>
      <c r="E24" s="1"/>
      <c r="F24" s="1"/>
      <c r="G24" s="1"/>
      <c r="H24" s="1"/>
      <c r="I24" s="1"/>
      <c r="J24" s="63"/>
      <c r="K24" s="1"/>
      <c r="L24" s="1"/>
      <c r="M24" s="1"/>
      <c r="N24" s="1"/>
      <c r="O24" s="1"/>
      <c r="P24" s="64"/>
      <c r="Q24" s="64"/>
      <c r="R24" s="62"/>
      <c r="S24" s="1"/>
      <c r="T24" s="1"/>
      <c r="U24" s="9"/>
      <c r="V24" s="9"/>
      <c r="W24" s="9"/>
      <c r="X24" s="60"/>
      <c r="Y24" s="60"/>
      <c r="Z24" s="2" t="s">
        <v>4025</v>
      </c>
      <c r="AA24" s="67">
        <v>43558</v>
      </c>
      <c r="AB24" s="2" t="s">
        <v>2409</v>
      </c>
      <c r="AC24" s="2">
        <v>228</v>
      </c>
      <c r="AD24" s="2">
        <v>140</v>
      </c>
      <c r="AE24" s="2">
        <v>205.51999999999998</v>
      </c>
      <c r="AF24" s="2">
        <v>24</v>
      </c>
      <c r="AG24" s="102">
        <f>AE24*AC24*AF24*0.0036</f>
        <v>4048.5795839999996</v>
      </c>
      <c r="AH24" s="102">
        <f>AE24*AD24*AF24*0.0036</f>
        <v>2485.9699199999995</v>
      </c>
      <c r="AI24" s="2">
        <v>30</v>
      </c>
      <c r="AJ24" s="1">
        <v>12</v>
      </c>
      <c r="AK24" s="1">
        <v>0.49</v>
      </c>
      <c r="AL24" s="1">
        <v>0.61</v>
      </c>
      <c r="AM24" s="124">
        <f>AG24*AI24*AJ24*AK24</f>
        <v>714169.4386175999</v>
      </c>
      <c r="AN24" s="125">
        <f>AH24*AI24*AJ24*AL24</f>
        <v>545918.9944319999</v>
      </c>
      <c r="AO24" s="2"/>
    </row>
    <row r="25" spans="1:41" ht="68.25" customHeight="1">
      <c r="A25" s="1">
        <v>17</v>
      </c>
      <c r="B25" s="1" t="s">
        <v>4</v>
      </c>
      <c r="C25" s="1" t="s">
        <v>4</v>
      </c>
      <c r="D25" s="1">
        <v>3</v>
      </c>
      <c r="E25" s="1" t="s">
        <v>257</v>
      </c>
      <c r="F25" s="1" t="s">
        <v>255</v>
      </c>
      <c r="G25" s="1" t="s">
        <v>2451</v>
      </c>
      <c r="H25" s="1" t="s">
        <v>4166</v>
      </c>
      <c r="I25" s="1" t="s">
        <v>4127</v>
      </c>
      <c r="J25" s="63">
        <v>29104391</v>
      </c>
      <c r="K25" s="1" t="s">
        <v>2438</v>
      </c>
      <c r="L25" s="1">
        <v>3447000</v>
      </c>
      <c r="M25" s="1" t="s">
        <v>3735</v>
      </c>
      <c r="N25" s="1" t="s">
        <v>4181</v>
      </c>
      <c r="O25" s="1">
        <v>3428</v>
      </c>
      <c r="P25" s="64">
        <v>43073</v>
      </c>
      <c r="Q25" s="64">
        <v>46724</v>
      </c>
      <c r="R25" s="62" t="s">
        <v>2440</v>
      </c>
      <c r="S25" s="1" t="s">
        <v>2441</v>
      </c>
      <c r="T25" s="1" t="s">
        <v>2443</v>
      </c>
      <c r="U25" s="9" t="s">
        <v>258</v>
      </c>
      <c r="V25" s="9" t="s">
        <v>2627</v>
      </c>
      <c r="W25" s="9">
        <v>2558</v>
      </c>
      <c r="X25" s="60">
        <v>105363.71</v>
      </c>
      <c r="Y25" s="60">
        <v>99841.42</v>
      </c>
      <c r="Z25" s="2" t="s">
        <v>4032</v>
      </c>
      <c r="AA25" s="67">
        <v>43759</v>
      </c>
      <c r="AB25" s="50">
        <v>0.5277777777777778</v>
      </c>
      <c r="AC25" s="2"/>
      <c r="AD25" s="2"/>
      <c r="AE25" s="2"/>
      <c r="AF25" s="2"/>
      <c r="AG25" s="43"/>
      <c r="AH25" s="43"/>
      <c r="AI25" s="2"/>
      <c r="AJ25" s="1"/>
      <c r="AK25" s="1"/>
      <c r="AL25" s="1"/>
      <c r="AM25" s="117">
        <v>213.6082725941961</v>
      </c>
      <c r="AN25" s="118">
        <v>129.62871279644764</v>
      </c>
      <c r="AO25" s="2" t="s">
        <v>2455</v>
      </c>
    </row>
    <row r="26" spans="1:41" ht="78" customHeight="1">
      <c r="A26" s="1">
        <v>18</v>
      </c>
      <c r="B26" s="1" t="s">
        <v>4</v>
      </c>
      <c r="C26" s="1" t="s">
        <v>4</v>
      </c>
      <c r="D26" s="1">
        <v>3</v>
      </c>
      <c r="E26" s="1" t="s">
        <v>259</v>
      </c>
      <c r="F26" s="1" t="s">
        <v>260</v>
      </c>
      <c r="G26" s="1" t="s">
        <v>2451</v>
      </c>
      <c r="H26" s="1" t="s">
        <v>4166</v>
      </c>
      <c r="I26" s="1" t="s">
        <v>4127</v>
      </c>
      <c r="J26" s="63">
        <v>29104391</v>
      </c>
      <c r="K26" s="1" t="s">
        <v>2438</v>
      </c>
      <c r="L26" s="1">
        <v>3447000</v>
      </c>
      <c r="M26" s="1" t="s">
        <v>3735</v>
      </c>
      <c r="N26" s="1" t="s">
        <v>4181</v>
      </c>
      <c r="O26" s="1">
        <v>3428</v>
      </c>
      <c r="P26" s="64">
        <v>43073</v>
      </c>
      <c r="Q26" s="64">
        <v>46724</v>
      </c>
      <c r="R26" s="62" t="s">
        <v>2440</v>
      </c>
      <c r="S26" s="1" t="s">
        <v>2441</v>
      </c>
      <c r="T26" s="1" t="s">
        <v>2443</v>
      </c>
      <c r="U26" s="9" t="s">
        <v>261</v>
      </c>
      <c r="V26" s="9" t="s">
        <v>2628</v>
      </c>
      <c r="W26" s="9">
        <v>2560</v>
      </c>
      <c r="X26" s="60">
        <v>106058.69</v>
      </c>
      <c r="Y26" s="60">
        <v>99894.55</v>
      </c>
      <c r="Z26" s="2" t="s">
        <v>4133</v>
      </c>
      <c r="AA26" s="67">
        <v>43759</v>
      </c>
      <c r="AB26" s="50">
        <v>0.513888888888889</v>
      </c>
      <c r="AC26" s="2"/>
      <c r="AD26" s="2"/>
      <c r="AE26" s="2"/>
      <c r="AF26" s="2"/>
      <c r="AG26" s="43"/>
      <c r="AH26" s="43"/>
      <c r="AI26" s="2"/>
      <c r="AJ26" s="1"/>
      <c r="AK26" s="1"/>
      <c r="AL26" s="1"/>
      <c r="AM26" s="117">
        <v>828489.2659387494</v>
      </c>
      <c r="AN26" s="118">
        <v>400122.81627528026</v>
      </c>
      <c r="AO26" s="2" t="s">
        <v>2455</v>
      </c>
    </row>
    <row r="27" spans="1:41" ht="81" customHeight="1">
      <c r="A27" s="1">
        <v>19</v>
      </c>
      <c r="B27" s="1" t="s">
        <v>4</v>
      </c>
      <c r="C27" s="1" t="s">
        <v>4</v>
      </c>
      <c r="D27" s="1">
        <v>3</v>
      </c>
      <c r="E27" s="1" t="s">
        <v>262</v>
      </c>
      <c r="F27" s="1" t="s">
        <v>260</v>
      </c>
      <c r="G27" s="1" t="s">
        <v>2451</v>
      </c>
      <c r="H27" s="1" t="s">
        <v>4166</v>
      </c>
      <c r="I27" s="1" t="s">
        <v>4127</v>
      </c>
      <c r="J27" s="63">
        <v>29104391</v>
      </c>
      <c r="K27" s="1" t="s">
        <v>2438</v>
      </c>
      <c r="L27" s="1">
        <v>3447000</v>
      </c>
      <c r="M27" s="1" t="s">
        <v>3735</v>
      </c>
      <c r="N27" s="1" t="s">
        <v>4181</v>
      </c>
      <c r="O27" s="1">
        <v>3428</v>
      </c>
      <c r="P27" s="64">
        <v>43073</v>
      </c>
      <c r="Q27" s="64">
        <v>46724</v>
      </c>
      <c r="R27" s="62" t="s">
        <v>2440</v>
      </c>
      <c r="S27" s="1" t="s">
        <v>2441</v>
      </c>
      <c r="T27" s="1" t="s">
        <v>2443</v>
      </c>
      <c r="U27" s="9" t="s">
        <v>263</v>
      </c>
      <c r="V27" s="9" t="s">
        <v>2629</v>
      </c>
      <c r="W27" s="9">
        <v>2560</v>
      </c>
      <c r="X27" s="60">
        <v>106080.71</v>
      </c>
      <c r="Y27" s="60">
        <v>99895.71</v>
      </c>
      <c r="Z27" s="2" t="s">
        <v>4047</v>
      </c>
      <c r="AA27" s="67">
        <v>43648</v>
      </c>
      <c r="AB27" s="50" t="s">
        <v>3756</v>
      </c>
      <c r="AC27" s="2">
        <v>190</v>
      </c>
      <c r="AD27" s="2">
        <v>113</v>
      </c>
      <c r="AE27" s="2">
        <v>115.4</v>
      </c>
      <c r="AF27" s="2">
        <v>24</v>
      </c>
      <c r="AG27" s="102">
        <f>AE27*AC27*AF27*0.0036</f>
        <v>1894.4063999999998</v>
      </c>
      <c r="AH27" s="102">
        <f>AE27*AD27*AF27*0.0036</f>
        <v>1126.6732800000002</v>
      </c>
      <c r="AI27" s="2">
        <v>30</v>
      </c>
      <c r="AJ27" s="1">
        <v>12</v>
      </c>
      <c r="AK27" s="2">
        <v>0.47</v>
      </c>
      <c r="AL27" s="2">
        <v>0.59</v>
      </c>
      <c r="AM27" s="117">
        <f>AG27*AI27*AJ27*AK27</f>
        <v>320533.56288</v>
      </c>
      <c r="AN27" s="118">
        <f>AH27*AI27*AJ27*AL27</f>
        <v>239305.40467200003</v>
      </c>
      <c r="AO27" s="2" t="s">
        <v>2455</v>
      </c>
    </row>
    <row r="28" spans="1:41" ht="25.5">
      <c r="A28" s="1">
        <v>20</v>
      </c>
      <c r="B28" s="1" t="s">
        <v>4</v>
      </c>
      <c r="C28" s="1" t="s">
        <v>4</v>
      </c>
      <c r="D28" s="1">
        <v>3</v>
      </c>
      <c r="E28" s="1" t="s">
        <v>264</v>
      </c>
      <c r="F28" s="1" t="s">
        <v>2255</v>
      </c>
      <c r="G28" s="1" t="s">
        <v>2452</v>
      </c>
      <c r="H28" s="1" t="s">
        <v>4166</v>
      </c>
      <c r="I28" s="1" t="s">
        <v>4127</v>
      </c>
      <c r="J28" s="63">
        <v>29104391</v>
      </c>
      <c r="K28" s="1" t="s">
        <v>2438</v>
      </c>
      <c r="L28" s="1">
        <v>3447000</v>
      </c>
      <c r="M28" s="1" t="s">
        <v>3735</v>
      </c>
      <c r="N28" s="1" t="s">
        <v>4181</v>
      </c>
      <c r="O28" s="1">
        <v>3428</v>
      </c>
      <c r="P28" s="64">
        <v>43073</v>
      </c>
      <c r="Q28" s="64">
        <v>46724</v>
      </c>
      <c r="R28" s="62" t="s">
        <v>2440</v>
      </c>
      <c r="S28" s="1" t="s">
        <v>2442</v>
      </c>
      <c r="T28" s="1" t="s">
        <v>2443</v>
      </c>
      <c r="U28" s="9" t="s">
        <v>265</v>
      </c>
      <c r="V28" s="9" t="s">
        <v>2630</v>
      </c>
      <c r="W28" s="2">
        <v>2552</v>
      </c>
      <c r="X28" s="2">
        <v>106929.496</v>
      </c>
      <c r="Y28" s="2">
        <v>99965.261</v>
      </c>
      <c r="Z28" s="2" t="s">
        <v>3741</v>
      </c>
      <c r="AA28" s="2"/>
      <c r="AB28" s="2"/>
      <c r="AC28" s="2"/>
      <c r="AD28" s="2"/>
      <c r="AE28" s="2"/>
      <c r="AF28" s="2"/>
      <c r="AG28" s="43"/>
      <c r="AH28" s="43"/>
      <c r="AI28" s="2"/>
      <c r="AJ28" s="1"/>
      <c r="AK28" s="1"/>
      <c r="AL28" s="1"/>
      <c r="AM28" s="44">
        <f t="shared" si="1"/>
        <v>0</v>
      </c>
      <c r="AN28" s="45">
        <f t="shared" si="0"/>
        <v>0</v>
      </c>
      <c r="AO28" s="2"/>
    </row>
    <row r="29" spans="1:41" ht="25.5">
      <c r="A29" s="1">
        <v>21</v>
      </c>
      <c r="B29" s="1" t="s">
        <v>4</v>
      </c>
      <c r="C29" s="1" t="s">
        <v>4</v>
      </c>
      <c r="D29" s="1">
        <v>3</v>
      </c>
      <c r="E29" s="1" t="s">
        <v>266</v>
      </c>
      <c r="F29" s="1" t="s">
        <v>267</v>
      </c>
      <c r="G29" s="1" t="s">
        <v>2452</v>
      </c>
      <c r="H29" s="1" t="s">
        <v>4166</v>
      </c>
      <c r="I29" s="1" t="s">
        <v>4127</v>
      </c>
      <c r="J29" s="63">
        <v>29104391</v>
      </c>
      <c r="K29" s="1" t="s">
        <v>2438</v>
      </c>
      <c r="L29" s="1">
        <v>3447000</v>
      </c>
      <c r="M29" s="1" t="s">
        <v>3735</v>
      </c>
      <c r="N29" s="1" t="s">
        <v>4181</v>
      </c>
      <c r="O29" s="1">
        <v>3428</v>
      </c>
      <c r="P29" s="64">
        <v>43073</v>
      </c>
      <c r="Q29" s="64">
        <v>46724</v>
      </c>
      <c r="R29" s="62" t="s">
        <v>2440</v>
      </c>
      <c r="S29" s="1" t="s">
        <v>2441</v>
      </c>
      <c r="T29" s="1" t="s">
        <v>2443</v>
      </c>
      <c r="U29" s="9" t="s">
        <v>268</v>
      </c>
      <c r="V29" s="9" t="s">
        <v>2631</v>
      </c>
      <c r="W29" s="9">
        <v>2551</v>
      </c>
      <c r="X29" s="60">
        <v>106954.01</v>
      </c>
      <c r="Y29" s="60">
        <v>99978.24</v>
      </c>
      <c r="Z29" s="2" t="s">
        <v>3741</v>
      </c>
      <c r="AA29" s="2"/>
      <c r="AB29" s="2"/>
      <c r="AC29" s="2"/>
      <c r="AD29" s="2"/>
      <c r="AE29" s="2"/>
      <c r="AF29" s="2"/>
      <c r="AG29" s="43"/>
      <c r="AH29" s="43"/>
      <c r="AI29" s="2"/>
      <c r="AJ29" s="1"/>
      <c r="AK29" s="1"/>
      <c r="AL29" s="1"/>
      <c r="AM29" s="44">
        <f t="shared" si="1"/>
        <v>0</v>
      </c>
      <c r="AN29" s="45">
        <f t="shared" si="0"/>
        <v>0</v>
      </c>
      <c r="AO29" s="2"/>
    </row>
    <row r="30" spans="1:41" ht="25.5">
      <c r="A30" s="1">
        <v>22</v>
      </c>
      <c r="B30" s="1" t="s">
        <v>4</v>
      </c>
      <c r="C30" s="1" t="s">
        <v>4</v>
      </c>
      <c r="D30" s="1">
        <v>3</v>
      </c>
      <c r="E30" s="1" t="s">
        <v>2118</v>
      </c>
      <c r="F30" s="1" t="s">
        <v>2119</v>
      </c>
      <c r="G30" s="1" t="s">
        <v>2452</v>
      </c>
      <c r="H30" s="1" t="s">
        <v>4166</v>
      </c>
      <c r="I30" s="1" t="s">
        <v>4127</v>
      </c>
      <c r="J30" s="63">
        <v>29104391</v>
      </c>
      <c r="K30" s="1" t="s">
        <v>2438</v>
      </c>
      <c r="L30" s="1">
        <v>3447000</v>
      </c>
      <c r="M30" s="1" t="s">
        <v>3735</v>
      </c>
      <c r="N30" s="1" t="s">
        <v>4181</v>
      </c>
      <c r="O30" s="1">
        <v>3428</v>
      </c>
      <c r="P30" s="64">
        <v>43073</v>
      </c>
      <c r="Q30" s="64">
        <v>46724</v>
      </c>
      <c r="R30" s="62" t="s">
        <v>2440</v>
      </c>
      <c r="S30" s="1" t="s">
        <v>2441</v>
      </c>
      <c r="T30" s="1" t="s">
        <v>2443</v>
      </c>
      <c r="U30" s="9" t="s">
        <v>2120</v>
      </c>
      <c r="V30" s="9" t="s">
        <v>2121</v>
      </c>
      <c r="W30" s="9">
        <v>2552</v>
      </c>
      <c r="X30" s="60">
        <v>107150.3</v>
      </c>
      <c r="Y30" s="60">
        <v>100029.51</v>
      </c>
      <c r="Z30" s="2" t="s">
        <v>3741</v>
      </c>
      <c r="AA30" s="2"/>
      <c r="AB30" s="2"/>
      <c r="AC30" s="2"/>
      <c r="AD30" s="2"/>
      <c r="AE30" s="2"/>
      <c r="AF30" s="2"/>
      <c r="AG30" s="43"/>
      <c r="AH30" s="43"/>
      <c r="AI30" s="2"/>
      <c r="AJ30" s="1"/>
      <c r="AK30" s="1"/>
      <c r="AL30" s="1"/>
      <c r="AM30" s="44">
        <f t="shared" si="1"/>
        <v>0</v>
      </c>
      <c r="AN30" s="45">
        <f t="shared" si="0"/>
        <v>0</v>
      </c>
      <c r="AO30" s="2"/>
    </row>
    <row r="31" spans="1:41" ht="38.25">
      <c r="A31" s="1">
        <v>23</v>
      </c>
      <c r="B31" s="1" t="s">
        <v>4</v>
      </c>
      <c r="C31" s="1" t="s">
        <v>4</v>
      </c>
      <c r="D31" s="1">
        <v>3</v>
      </c>
      <c r="E31" s="1" t="s">
        <v>269</v>
      </c>
      <c r="F31" s="1" t="s">
        <v>270</v>
      </c>
      <c r="G31" s="1" t="s">
        <v>2452</v>
      </c>
      <c r="H31" s="1" t="s">
        <v>4166</v>
      </c>
      <c r="I31" s="1" t="s">
        <v>4127</v>
      </c>
      <c r="J31" s="63">
        <v>29104391</v>
      </c>
      <c r="K31" s="1" t="s">
        <v>2438</v>
      </c>
      <c r="L31" s="1">
        <v>3447000</v>
      </c>
      <c r="M31" s="1" t="s">
        <v>3735</v>
      </c>
      <c r="N31" s="1" t="s">
        <v>4181</v>
      </c>
      <c r="O31" s="1">
        <v>3428</v>
      </c>
      <c r="P31" s="64">
        <v>43073</v>
      </c>
      <c r="Q31" s="64">
        <v>46724</v>
      </c>
      <c r="R31" s="62" t="s">
        <v>2440</v>
      </c>
      <c r="S31" s="1" t="s">
        <v>2442</v>
      </c>
      <c r="T31" s="1" t="s">
        <v>2443</v>
      </c>
      <c r="U31" s="9" t="s">
        <v>271</v>
      </c>
      <c r="V31" s="9" t="s">
        <v>2632</v>
      </c>
      <c r="W31" s="9">
        <v>2552</v>
      </c>
      <c r="X31" s="60">
        <v>107474.91</v>
      </c>
      <c r="Y31" s="60">
        <v>100115.44</v>
      </c>
      <c r="Z31" s="2" t="s">
        <v>4046</v>
      </c>
      <c r="AA31" s="67"/>
      <c r="AB31" s="2"/>
      <c r="AC31" s="2"/>
      <c r="AD31" s="2"/>
      <c r="AE31" s="2"/>
      <c r="AF31" s="2"/>
      <c r="AG31" s="43"/>
      <c r="AH31" s="43"/>
      <c r="AI31" s="2"/>
      <c r="AJ31" s="1"/>
      <c r="AK31" s="1"/>
      <c r="AL31" s="1"/>
      <c r="AM31" s="117">
        <f>AVERAGE(AM32:AM33)</f>
        <v>211917.78057599996</v>
      </c>
      <c r="AN31" s="117">
        <f>AVERAGE(AN32:AN33)</f>
        <v>128319.33271679998</v>
      </c>
      <c r="AO31" s="2" t="s">
        <v>2455</v>
      </c>
    </row>
    <row r="32" spans="1:41" ht="33" customHeight="1">
      <c r="A32" s="1"/>
      <c r="B32" s="1"/>
      <c r="C32" s="1"/>
      <c r="D32" s="1"/>
      <c r="E32" s="1"/>
      <c r="F32" s="1"/>
      <c r="G32" s="1"/>
      <c r="H32" s="1"/>
      <c r="I32" s="1"/>
      <c r="J32" s="63"/>
      <c r="K32" s="1"/>
      <c r="L32" s="1"/>
      <c r="M32" s="1"/>
      <c r="N32" s="1"/>
      <c r="O32" s="1"/>
      <c r="P32" s="64"/>
      <c r="Q32" s="64"/>
      <c r="R32" s="62"/>
      <c r="S32" s="1"/>
      <c r="T32" s="1"/>
      <c r="U32" s="9"/>
      <c r="V32" s="9"/>
      <c r="W32" s="9"/>
      <c r="X32" s="60"/>
      <c r="Y32" s="60"/>
      <c r="Z32" s="2" t="s">
        <v>3753</v>
      </c>
      <c r="AA32" s="67">
        <v>43759</v>
      </c>
      <c r="AB32" s="2" t="s">
        <v>3751</v>
      </c>
      <c r="AC32" s="2">
        <v>250</v>
      </c>
      <c r="AD32" s="2">
        <v>130</v>
      </c>
      <c r="AE32" s="2">
        <v>22.877</v>
      </c>
      <c r="AF32" s="2">
        <v>24</v>
      </c>
      <c r="AG32" s="102">
        <f>AE32*AC32*AF32*0.0036</f>
        <v>494.1432</v>
      </c>
      <c r="AH32" s="102">
        <f>AE32*AD32*AF32*0.0036</f>
        <v>256.954464</v>
      </c>
      <c r="AI32" s="2">
        <v>30</v>
      </c>
      <c r="AJ32" s="1">
        <v>12</v>
      </c>
      <c r="AK32" s="1">
        <v>0.49</v>
      </c>
      <c r="AL32" s="1">
        <v>0.59</v>
      </c>
      <c r="AM32" s="124">
        <f>AG32*AI32*AJ32*AK32</f>
        <v>87166.86047999999</v>
      </c>
      <c r="AN32" s="125">
        <f>AH32*AI32*AJ32*AL32</f>
        <v>54577.12815359999</v>
      </c>
      <c r="AO32" s="2"/>
    </row>
    <row r="33" spans="1:41" ht="33" customHeight="1">
      <c r="A33" s="1"/>
      <c r="B33" s="1"/>
      <c r="C33" s="1"/>
      <c r="D33" s="1"/>
      <c r="E33" s="1"/>
      <c r="F33" s="1"/>
      <c r="G33" s="1"/>
      <c r="H33" s="1"/>
      <c r="I33" s="1"/>
      <c r="J33" s="63"/>
      <c r="K33" s="1"/>
      <c r="L33" s="1"/>
      <c r="M33" s="1"/>
      <c r="N33" s="1"/>
      <c r="O33" s="1"/>
      <c r="P33" s="64"/>
      <c r="Q33" s="64"/>
      <c r="R33" s="62"/>
      <c r="S33" s="1"/>
      <c r="T33" s="1"/>
      <c r="U33" s="9"/>
      <c r="V33" s="9"/>
      <c r="W33" s="9"/>
      <c r="X33" s="60"/>
      <c r="Y33" s="60"/>
      <c r="Z33" s="2" t="s">
        <v>4026</v>
      </c>
      <c r="AA33" s="67">
        <v>43558</v>
      </c>
      <c r="AB33" s="2" t="s">
        <v>3757</v>
      </c>
      <c r="AC33" s="2">
        <v>197</v>
      </c>
      <c r="AD33" s="2">
        <v>120</v>
      </c>
      <c r="AE33" s="2">
        <v>80.8</v>
      </c>
      <c r="AF33" s="2">
        <v>24</v>
      </c>
      <c r="AG33" s="102">
        <f>AE33*AC33*AF33*0.0036</f>
        <v>1375.28064</v>
      </c>
      <c r="AH33" s="102">
        <f>AE33*AD33*AF33*0.0036</f>
        <v>837.7343999999999</v>
      </c>
      <c r="AI33" s="2">
        <v>30</v>
      </c>
      <c r="AJ33" s="1">
        <v>12</v>
      </c>
      <c r="AK33" s="1">
        <v>0.68</v>
      </c>
      <c r="AL33" s="1">
        <v>0.67</v>
      </c>
      <c r="AM33" s="124">
        <f>AG33*AI33*AJ33*AK33</f>
        <v>336668.70067199995</v>
      </c>
      <c r="AN33" s="125">
        <f>AH33*AI33*AJ33*AL33</f>
        <v>202061.53728</v>
      </c>
      <c r="AO33" s="2"/>
    </row>
    <row r="34" spans="1:41" ht="60" customHeight="1">
      <c r="A34" s="1">
        <v>24</v>
      </c>
      <c r="B34" s="1" t="s">
        <v>4</v>
      </c>
      <c r="C34" s="1" t="s">
        <v>4</v>
      </c>
      <c r="D34" s="1">
        <v>3</v>
      </c>
      <c r="E34" s="1" t="s">
        <v>272</v>
      </c>
      <c r="F34" s="1" t="s">
        <v>270</v>
      </c>
      <c r="G34" s="1" t="s">
        <v>2452</v>
      </c>
      <c r="H34" s="1" t="s">
        <v>4166</v>
      </c>
      <c r="I34" s="1" t="s">
        <v>4127</v>
      </c>
      <c r="J34" s="63">
        <v>29104391</v>
      </c>
      <c r="K34" s="1" t="s">
        <v>2438</v>
      </c>
      <c r="L34" s="1">
        <v>3447000</v>
      </c>
      <c r="M34" s="1" t="s">
        <v>3735</v>
      </c>
      <c r="N34" s="1" t="s">
        <v>4181</v>
      </c>
      <c r="O34" s="1">
        <v>3428</v>
      </c>
      <c r="P34" s="64">
        <v>43073</v>
      </c>
      <c r="Q34" s="64">
        <v>46724</v>
      </c>
      <c r="R34" s="62" t="s">
        <v>2440</v>
      </c>
      <c r="S34" s="1" t="s">
        <v>2441</v>
      </c>
      <c r="T34" s="1" t="s">
        <v>2443</v>
      </c>
      <c r="U34" s="9" t="s">
        <v>273</v>
      </c>
      <c r="V34" s="9" t="s">
        <v>2633</v>
      </c>
      <c r="W34" s="9">
        <v>2552</v>
      </c>
      <c r="X34" s="60">
        <v>107503.69</v>
      </c>
      <c r="Y34" s="60">
        <v>100136.55</v>
      </c>
      <c r="Z34" s="2" t="s">
        <v>3758</v>
      </c>
      <c r="AA34" s="67">
        <v>43759</v>
      </c>
      <c r="AB34" s="50">
        <v>0.4666666666666666</v>
      </c>
      <c r="AC34" s="103"/>
      <c r="AD34" s="103"/>
      <c r="AE34" s="103"/>
      <c r="AF34" s="103"/>
      <c r="AG34" s="103"/>
      <c r="AH34" s="103"/>
      <c r="AI34" s="103"/>
      <c r="AJ34" s="103"/>
      <c r="AK34" s="103"/>
      <c r="AL34" s="103"/>
      <c r="AM34" s="117">
        <f t="shared" si="1"/>
        <v>0</v>
      </c>
      <c r="AN34" s="118">
        <f t="shared" si="0"/>
        <v>0</v>
      </c>
      <c r="AO34" s="2" t="s">
        <v>2455</v>
      </c>
    </row>
    <row r="35" spans="1:41" ht="25.5">
      <c r="A35" s="1">
        <v>25</v>
      </c>
      <c r="B35" s="1" t="s">
        <v>4</v>
      </c>
      <c r="C35" s="1" t="s">
        <v>4</v>
      </c>
      <c r="D35" s="1">
        <v>3</v>
      </c>
      <c r="E35" s="1" t="s">
        <v>274</v>
      </c>
      <c r="F35" s="1" t="s">
        <v>275</v>
      </c>
      <c r="G35" s="1" t="s">
        <v>2452</v>
      </c>
      <c r="H35" s="1" t="s">
        <v>4166</v>
      </c>
      <c r="I35" s="1" t="s">
        <v>4127</v>
      </c>
      <c r="J35" s="63">
        <v>29104391</v>
      </c>
      <c r="K35" s="1" t="s">
        <v>2438</v>
      </c>
      <c r="L35" s="1">
        <v>3447000</v>
      </c>
      <c r="M35" s="1" t="s">
        <v>3735</v>
      </c>
      <c r="N35" s="1" t="s">
        <v>4181</v>
      </c>
      <c r="O35" s="1">
        <v>3428</v>
      </c>
      <c r="P35" s="64">
        <v>43073</v>
      </c>
      <c r="Q35" s="64">
        <v>46724</v>
      </c>
      <c r="R35" s="62" t="s">
        <v>2440</v>
      </c>
      <c r="S35" s="1" t="s">
        <v>2441</v>
      </c>
      <c r="T35" s="1" t="s">
        <v>2443</v>
      </c>
      <c r="U35" s="9" t="s">
        <v>276</v>
      </c>
      <c r="V35" s="9" t="s">
        <v>2634</v>
      </c>
      <c r="W35" s="9">
        <v>2554</v>
      </c>
      <c r="X35" s="60">
        <v>107670.26</v>
      </c>
      <c r="Y35" s="60">
        <v>100187.8</v>
      </c>
      <c r="Z35" s="2" t="s">
        <v>3741</v>
      </c>
      <c r="AA35" s="2"/>
      <c r="AB35" s="2"/>
      <c r="AC35" s="2"/>
      <c r="AD35" s="2"/>
      <c r="AE35" s="2"/>
      <c r="AF35" s="2"/>
      <c r="AG35" s="43"/>
      <c r="AH35" s="43"/>
      <c r="AI35" s="2"/>
      <c r="AJ35" s="1"/>
      <c r="AK35" s="1"/>
      <c r="AL35" s="1"/>
      <c r="AM35" s="44">
        <f t="shared" si="1"/>
        <v>0</v>
      </c>
      <c r="AN35" s="45">
        <f t="shared" si="0"/>
        <v>0</v>
      </c>
      <c r="AO35" s="2"/>
    </row>
    <row r="36" spans="1:41" ht="51.75" customHeight="1">
      <c r="A36" s="1">
        <v>26</v>
      </c>
      <c r="B36" s="1" t="s">
        <v>4</v>
      </c>
      <c r="C36" s="1" t="s">
        <v>4</v>
      </c>
      <c r="D36" s="1">
        <v>3</v>
      </c>
      <c r="E36" s="1" t="s">
        <v>277</v>
      </c>
      <c r="F36" s="1" t="s">
        <v>279</v>
      </c>
      <c r="G36" s="1" t="s">
        <v>2452</v>
      </c>
      <c r="H36" s="1" t="s">
        <v>4166</v>
      </c>
      <c r="I36" s="1" t="s">
        <v>4127</v>
      </c>
      <c r="J36" s="63">
        <v>29104391</v>
      </c>
      <c r="K36" s="1" t="s">
        <v>2438</v>
      </c>
      <c r="L36" s="1">
        <v>3447000</v>
      </c>
      <c r="M36" s="1" t="s">
        <v>3735</v>
      </c>
      <c r="N36" s="1" t="s">
        <v>4181</v>
      </c>
      <c r="O36" s="1">
        <v>3428</v>
      </c>
      <c r="P36" s="64">
        <v>43073</v>
      </c>
      <c r="Q36" s="64">
        <v>46724</v>
      </c>
      <c r="R36" s="62" t="s">
        <v>2440</v>
      </c>
      <c r="S36" s="1" t="s">
        <v>2441</v>
      </c>
      <c r="T36" s="1" t="s">
        <v>2443</v>
      </c>
      <c r="U36" s="9" t="s">
        <v>278</v>
      </c>
      <c r="V36" s="9" t="s">
        <v>2635</v>
      </c>
      <c r="W36" s="9">
        <v>2552</v>
      </c>
      <c r="X36" s="60">
        <v>107711.52</v>
      </c>
      <c r="Y36" s="60">
        <v>100187.96</v>
      </c>
      <c r="Z36" s="2" t="s">
        <v>4046</v>
      </c>
      <c r="AA36" s="47">
        <v>43375</v>
      </c>
      <c r="AB36" s="2" t="s">
        <v>2411</v>
      </c>
      <c r="AC36" s="2"/>
      <c r="AD36" s="2"/>
      <c r="AE36" s="2"/>
      <c r="AF36" s="2"/>
      <c r="AG36" s="102"/>
      <c r="AH36" s="102"/>
      <c r="AI36" s="2"/>
      <c r="AJ36" s="1"/>
      <c r="AK36" s="1"/>
      <c r="AL36" s="1"/>
      <c r="AM36" s="117">
        <f>AVERAGE(AM37:AM38)</f>
        <v>938290.26115584</v>
      </c>
      <c r="AN36" s="117">
        <f>AVERAGE(AN37:AN38)</f>
        <v>593197.8395904</v>
      </c>
      <c r="AO36" s="2" t="s">
        <v>2455</v>
      </c>
    </row>
    <row r="37" spans="1:41" ht="50.25" customHeight="1">
      <c r="A37" s="1"/>
      <c r="B37" s="1"/>
      <c r="C37" s="1"/>
      <c r="D37" s="1"/>
      <c r="E37" s="1"/>
      <c r="F37" s="1"/>
      <c r="G37" s="1"/>
      <c r="H37" s="1"/>
      <c r="I37" s="1"/>
      <c r="J37" s="63"/>
      <c r="K37" s="1"/>
      <c r="L37" s="1"/>
      <c r="M37" s="1"/>
      <c r="N37" s="1"/>
      <c r="O37" s="1"/>
      <c r="P37" s="64"/>
      <c r="Q37" s="64"/>
      <c r="R37" s="62"/>
      <c r="S37" s="1"/>
      <c r="T37" s="1"/>
      <c r="U37" s="9"/>
      <c r="V37" s="9"/>
      <c r="W37" s="9"/>
      <c r="X37" s="60"/>
      <c r="Y37" s="60"/>
      <c r="Z37" s="2" t="s">
        <v>3753</v>
      </c>
      <c r="AA37" s="47">
        <v>43763</v>
      </c>
      <c r="AB37" s="2" t="s">
        <v>3759</v>
      </c>
      <c r="AC37" s="2">
        <v>208</v>
      </c>
      <c r="AD37" s="2">
        <v>140</v>
      </c>
      <c r="AE37" s="2">
        <v>262.362</v>
      </c>
      <c r="AF37" s="2">
        <v>24</v>
      </c>
      <c r="AG37" s="102">
        <f>AE37*AC37*AF37*0.0036</f>
        <v>4714.9599744</v>
      </c>
      <c r="AH37" s="102">
        <f>AE37*AD37*AF37*0.0036</f>
        <v>3173.530752</v>
      </c>
      <c r="AI37" s="2">
        <v>30</v>
      </c>
      <c r="AJ37" s="1">
        <v>12</v>
      </c>
      <c r="AK37" s="1">
        <v>0.47</v>
      </c>
      <c r="AL37" s="1">
        <v>0.59</v>
      </c>
      <c r="AM37" s="124">
        <f>AG37*AI37*AJ37*AK37</f>
        <v>797771.2276684799</v>
      </c>
      <c r="AN37" s="125">
        <f>AH37*AI37*AJ37*AL37</f>
        <v>674057.9317248</v>
      </c>
      <c r="AO37" s="2"/>
    </row>
    <row r="38" spans="1:41" ht="50.25" customHeight="1">
      <c r="A38" s="1"/>
      <c r="B38" s="1"/>
      <c r="C38" s="1"/>
      <c r="D38" s="1"/>
      <c r="E38" s="1"/>
      <c r="F38" s="1"/>
      <c r="G38" s="1"/>
      <c r="H38" s="1"/>
      <c r="I38" s="1"/>
      <c r="J38" s="63"/>
      <c r="K38" s="1"/>
      <c r="L38" s="1"/>
      <c r="M38" s="1"/>
      <c r="N38" s="1"/>
      <c r="O38" s="1"/>
      <c r="P38" s="64"/>
      <c r="Q38" s="64"/>
      <c r="R38" s="62"/>
      <c r="S38" s="1"/>
      <c r="T38" s="1"/>
      <c r="U38" s="9"/>
      <c r="V38" s="9"/>
      <c r="W38" s="9"/>
      <c r="X38" s="60"/>
      <c r="Y38" s="60"/>
      <c r="Z38" s="2" t="s">
        <v>4027</v>
      </c>
      <c r="AA38" s="47">
        <v>43787</v>
      </c>
      <c r="AB38" s="2" t="s">
        <v>3760</v>
      </c>
      <c r="AC38" s="2">
        <v>324</v>
      </c>
      <c r="AD38" s="2">
        <v>180</v>
      </c>
      <c r="AE38" s="2">
        <v>172.66</v>
      </c>
      <c r="AF38" s="2">
        <v>24</v>
      </c>
      <c r="AG38" s="102">
        <f>AE38*AC38*AF38*0.0036</f>
        <v>4833.374975999999</v>
      </c>
      <c r="AH38" s="102">
        <f>AE38*AD38*AF38*0.0036</f>
        <v>2685.2083199999997</v>
      </c>
      <c r="AI38" s="2">
        <v>30</v>
      </c>
      <c r="AJ38" s="1">
        <v>12</v>
      </c>
      <c r="AK38" s="1">
        <v>0.62</v>
      </c>
      <c r="AL38" s="1">
        <v>0.53</v>
      </c>
      <c r="AM38" s="124">
        <f>AG38*AI38*AJ38*AK38</f>
        <v>1078809.2946432</v>
      </c>
      <c r="AN38" s="125">
        <f>AH38*AI38*AJ38*AL38</f>
        <v>512337.747456</v>
      </c>
      <c r="AO38" s="2"/>
    </row>
    <row r="39" spans="1:41" ht="25.5">
      <c r="A39" s="1">
        <v>27</v>
      </c>
      <c r="B39" s="1" t="s">
        <v>4</v>
      </c>
      <c r="C39" s="1" t="s">
        <v>4</v>
      </c>
      <c r="D39" s="1">
        <v>3</v>
      </c>
      <c r="E39" s="1" t="s">
        <v>280</v>
      </c>
      <c r="F39" s="1" t="s">
        <v>279</v>
      </c>
      <c r="G39" s="1" t="s">
        <v>2452</v>
      </c>
      <c r="H39" s="1" t="s">
        <v>4166</v>
      </c>
      <c r="I39" s="1" t="s">
        <v>4127</v>
      </c>
      <c r="J39" s="63">
        <v>29104391</v>
      </c>
      <c r="K39" s="1" t="s">
        <v>2438</v>
      </c>
      <c r="L39" s="1">
        <v>3447000</v>
      </c>
      <c r="M39" s="1" t="s">
        <v>3735</v>
      </c>
      <c r="N39" s="1" t="s">
        <v>4181</v>
      </c>
      <c r="O39" s="1">
        <v>3428</v>
      </c>
      <c r="P39" s="64">
        <v>43073</v>
      </c>
      <c r="Q39" s="64">
        <v>46724</v>
      </c>
      <c r="R39" s="62" t="s">
        <v>2440</v>
      </c>
      <c r="S39" s="1" t="s">
        <v>2441</v>
      </c>
      <c r="T39" s="1" t="s">
        <v>2443</v>
      </c>
      <c r="U39" s="9" t="s">
        <v>285</v>
      </c>
      <c r="V39" s="9" t="s">
        <v>2636</v>
      </c>
      <c r="W39" s="9">
        <v>2552</v>
      </c>
      <c r="X39" s="60">
        <v>107728.08</v>
      </c>
      <c r="Y39" s="60">
        <v>100182.03</v>
      </c>
      <c r="Z39" s="2" t="s">
        <v>3741</v>
      </c>
      <c r="AA39" s="2"/>
      <c r="AB39" s="2"/>
      <c r="AC39" s="2"/>
      <c r="AD39" s="2"/>
      <c r="AE39" s="2"/>
      <c r="AF39" s="2"/>
      <c r="AG39" s="43"/>
      <c r="AH39" s="43"/>
      <c r="AI39" s="2"/>
      <c r="AJ39" s="1"/>
      <c r="AK39" s="1"/>
      <c r="AL39" s="1"/>
      <c r="AM39" s="44">
        <f t="shared" si="1"/>
        <v>0</v>
      </c>
      <c r="AN39" s="45">
        <f t="shared" si="0"/>
        <v>0</v>
      </c>
      <c r="AO39" s="2"/>
    </row>
    <row r="40" spans="1:41" ht="25.5">
      <c r="A40" s="1">
        <v>28</v>
      </c>
      <c r="B40" s="1" t="s">
        <v>4</v>
      </c>
      <c r="C40" s="1" t="s">
        <v>4</v>
      </c>
      <c r="D40" s="1">
        <v>3</v>
      </c>
      <c r="E40" s="1" t="s">
        <v>281</v>
      </c>
      <c r="F40" s="9" t="s">
        <v>283</v>
      </c>
      <c r="G40" s="1" t="s">
        <v>2452</v>
      </c>
      <c r="H40" s="1" t="s">
        <v>4166</v>
      </c>
      <c r="I40" s="1" t="s">
        <v>4127</v>
      </c>
      <c r="J40" s="63">
        <v>29104391</v>
      </c>
      <c r="K40" s="1" t="s">
        <v>2438</v>
      </c>
      <c r="L40" s="1">
        <v>3447000</v>
      </c>
      <c r="M40" s="1" t="s">
        <v>3735</v>
      </c>
      <c r="N40" s="1" t="s">
        <v>4181</v>
      </c>
      <c r="O40" s="1">
        <v>3428</v>
      </c>
      <c r="P40" s="64">
        <v>43073</v>
      </c>
      <c r="Q40" s="64">
        <v>46724</v>
      </c>
      <c r="R40" s="62" t="s">
        <v>2440</v>
      </c>
      <c r="S40" s="1" t="s">
        <v>2441</v>
      </c>
      <c r="T40" s="1" t="s">
        <v>2443</v>
      </c>
      <c r="U40" s="9" t="s">
        <v>286</v>
      </c>
      <c r="V40" s="9" t="s">
        <v>2637</v>
      </c>
      <c r="W40" s="9">
        <v>2551</v>
      </c>
      <c r="X40" s="60">
        <v>108276.91</v>
      </c>
      <c r="Y40" s="60">
        <v>100136.32</v>
      </c>
      <c r="Z40" s="2" t="s">
        <v>3741</v>
      </c>
      <c r="AA40" s="2"/>
      <c r="AB40" s="2"/>
      <c r="AC40" s="2"/>
      <c r="AD40" s="2"/>
      <c r="AE40" s="2"/>
      <c r="AF40" s="2"/>
      <c r="AG40" s="43"/>
      <c r="AH40" s="43"/>
      <c r="AI40" s="2"/>
      <c r="AJ40" s="1"/>
      <c r="AK40" s="1"/>
      <c r="AL40" s="1"/>
      <c r="AM40" s="44">
        <f t="shared" si="1"/>
        <v>0</v>
      </c>
      <c r="AN40" s="45">
        <f t="shared" si="0"/>
        <v>0</v>
      </c>
      <c r="AO40" s="2"/>
    </row>
    <row r="41" spans="1:41" ht="25.5">
      <c r="A41" s="1">
        <v>29</v>
      </c>
      <c r="B41" s="1" t="s">
        <v>4</v>
      </c>
      <c r="C41" s="1" t="s">
        <v>4</v>
      </c>
      <c r="D41" s="1">
        <v>3</v>
      </c>
      <c r="E41" s="1" t="s">
        <v>282</v>
      </c>
      <c r="F41" s="9" t="s">
        <v>284</v>
      </c>
      <c r="G41" s="1" t="s">
        <v>2452</v>
      </c>
      <c r="H41" s="1" t="s">
        <v>4166</v>
      </c>
      <c r="I41" s="1" t="s">
        <v>4127</v>
      </c>
      <c r="J41" s="63">
        <v>29104391</v>
      </c>
      <c r="K41" s="1" t="s">
        <v>2438</v>
      </c>
      <c r="L41" s="1">
        <v>3447000</v>
      </c>
      <c r="M41" s="1" t="s">
        <v>3735</v>
      </c>
      <c r="N41" s="1" t="s">
        <v>4181</v>
      </c>
      <c r="O41" s="1">
        <v>3428</v>
      </c>
      <c r="P41" s="64">
        <v>43073</v>
      </c>
      <c r="Q41" s="64">
        <v>46724</v>
      </c>
      <c r="R41" s="62" t="s">
        <v>2440</v>
      </c>
      <c r="S41" s="1" t="s">
        <v>2442</v>
      </c>
      <c r="T41" s="1" t="s">
        <v>2443</v>
      </c>
      <c r="U41" s="9" t="s">
        <v>287</v>
      </c>
      <c r="V41" s="9" t="s">
        <v>2638</v>
      </c>
      <c r="W41" s="9">
        <v>2550</v>
      </c>
      <c r="X41" s="60">
        <v>108342.45</v>
      </c>
      <c r="Y41" s="60">
        <v>100114.08</v>
      </c>
      <c r="Z41" s="2" t="s">
        <v>3741</v>
      </c>
      <c r="AA41" s="2"/>
      <c r="AB41" s="2"/>
      <c r="AC41" s="2"/>
      <c r="AD41" s="2"/>
      <c r="AE41" s="2"/>
      <c r="AF41" s="2"/>
      <c r="AG41" s="43"/>
      <c r="AH41" s="43"/>
      <c r="AI41" s="2"/>
      <c r="AJ41" s="1"/>
      <c r="AK41" s="1"/>
      <c r="AL41" s="1"/>
      <c r="AM41" s="44">
        <f t="shared" si="1"/>
        <v>0</v>
      </c>
      <c r="AN41" s="45">
        <f t="shared" si="0"/>
        <v>0</v>
      </c>
      <c r="AO41" s="2"/>
    </row>
    <row r="42" spans="1:41" ht="25.5">
      <c r="A42" s="1">
        <v>30</v>
      </c>
      <c r="B42" s="1" t="s">
        <v>4</v>
      </c>
      <c r="C42" s="1" t="s">
        <v>4</v>
      </c>
      <c r="D42" s="1">
        <v>3</v>
      </c>
      <c r="E42" s="1" t="s">
        <v>288</v>
      </c>
      <c r="F42" s="9" t="s">
        <v>292</v>
      </c>
      <c r="G42" s="1" t="s">
        <v>2452</v>
      </c>
      <c r="H42" s="1" t="s">
        <v>4166</v>
      </c>
      <c r="I42" s="1" t="s">
        <v>4127</v>
      </c>
      <c r="J42" s="63">
        <v>29104391</v>
      </c>
      <c r="K42" s="1" t="s">
        <v>2438</v>
      </c>
      <c r="L42" s="1">
        <v>3447000</v>
      </c>
      <c r="M42" s="1" t="s">
        <v>3735</v>
      </c>
      <c r="N42" s="1" t="s">
        <v>4181</v>
      </c>
      <c r="O42" s="1">
        <v>3428</v>
      </c>
      <c r="P42" s="64">
        <v>43073</v>
      </c>
      <c r="Q42" s="64">
        <v>46724</v>
      </c>
      <c r="R42" s="62" t="s">
        <v>2440</v>
      </c>
      <c r="S42" s="1" t="s">
        <v>2441</v>
      </c>
      <c r="T42" s="1" t="s">
        <v>2443</v>
      </c>
      <c r="U42" s="9" t="s">
        <v>293</v>
      </c>
      <c r="V42" s="9" t="s">
        <v>2639</v>
      </c>
      <c r="W42" s="9">
        <v>2551</v>
      </c>
      <c r="X42" s="60">
        <v>108387.51</v>
      </c>
      <c r="Y42" s="60">
        <v>100161.06</v>
      </c>
      <c r="Z42" s="2" t="s">
        <v>3741</v>
      </c>
      <c r="AA42" s="2"/>
      <c r="AB42" s="2"/>
      <c r="AC42" s="2"/>
      <c r="AD42" s="2"/>
      <c r="AE42" s="2"/>
      <c r="AF42" s="2"/>
      <c r="AG42" s="43"/>
      <c r="AH42" s="43"/>
      <c r="AI42" s="2"/>
      <c r="AJ42" s="1"/>
      <c r="AK42" s="1"/>
      <c r="AL42" s="1"/>
      <c r="AM42" s="44">
        <f t="shared" si="1"/>
        <v>0</v>
      </c>
      <c r="AN42" s="45">
        <f t="shared" si="0"/>
        <v>0</v>
      </c>
      <c r="AO42" s="2"/>
    </row>
    <row r="43" spans="1:41" ht="25.5">
      <c r="A43" s="1">
        <v>31</v>
      </c>
      <c r="B43" s="1" t="s">
        <v>4</v>
      </c>
      <c r="C43" s="1" t="s">
        <v>4</v>
      </c>
      <c r="D43" s="1">
        <v>3</v>
      </c>
      <c r="E43" s="1" t="s">
        <v>289</v>
      </c>
      <c r="F43" s="9" t="s">
        <v>290</v>
      </c>
      <c r="G43" s="1" t="s">
        <v>2452</v>
      </c>
      <c r="H43" s="1" t="s">
        <v>4166</v>
      </c>
      <c r="I43" s="1" t="s">
        <v>4127</v>
      </c>
      <c r="J43" s="63">
        <v>29104391</v>
      </c>
      <c r="K43" s="1" t="s">
        <v>2438</v>
      </c>
      <c r="L43" s="1">
        <v>3447000</v>
      </c>
      <c r="M43" s="1" t="s">
        <v>3735</v>
      </c>
      <c r="N43" s="1" t="s">
        <v>4181</v>
      </c>
      <c r="O43" s="1">
        <v>3428</v>
      </c>
      <c r="P43" s="64">
        <v>43073</v>
      </c>
      <c r="Q43" s="64">
        <v>46724</v>
      </c>
      <c r="R43" s="62" t="s">
        <v>2440</v>
      </c>
      <c r="S43" s="1" t="s">
        <v>2441</v>
      </c>
      <c r="T43" s="1" t="s">
        <v>2443</v>
      </c>
      <c r="U43" s="9" t="s">
        <v>294</v>
      </c>
      <c r="V43" s="9" t="s">
        <v>2640</v>
      </c>
      <c r="W43" s="9">
        <v>2551</v>
      </c>
      <c r="X43" s="60">
        <v>108653.04</v>
      </c>
      <c r="Y43" s="60">
        <v>100225.36</v>
      </c>
      <c r="Z43" s="2" t="s">
        <v>3741</v>
      </c>
      <c r="AA43" s="2"/>
      <c r="AB43" s="2"/>
      <c r="AC43" s="2"/>
      <c r="AD43" s="2"/>
      <c r="AE43" s="2"/>
      <c r="AF43" s="2"/>
      <c r="AG43" s="43"/>
      <c r="AH43" s="43"/>
      <c r="AI43" s="2"/>
      <c r="AJ43" s="1"/>
      <c r="AK43" s="1"/>
      <c r="AL43" s="1"/>
      <c r="AM43" s="44">
        <f t="shared" si="1"/>
        <v>0</v>
      </c>
      <c r="AN43" s="45">
        <f t="shared" si="0"/>
        <v>0</v>
      </c>
      <c r="AO43" s="2"/>
    </row>
    <row r="44" spans="1:41" ht="78" customHeight="1">
      <c r="A44" s="1">
        <v>32</v>
      </c>
      <c r="B44" s="1" t="s">
        <v>4</v>
      </c>
      <c r="C44" s="1" t="s">
        <v>4</v>
      </c>
      <c r="D44" s="1">
        <v>3</v>
      </c>
      <c r="E44" s="1" t="s">
        <v>295</v>
      </c>
      <c r="F44" s="9" t="s">
        <v>291</v>
      </c>
      <c r="G44" s="1" t="s">
        <v>2452</v>
      </c>
      <c r="H44" s="1" t="s">
        <v>4166</v>
      </c>
      <c r="I44" s="1" t="s">
        <v>4127</v>
      </c>
      <c r="J44" s="63">
        <v>29104391</v>
      </c>
      <c r="K44" s="1" t="s">
        <v>2438</v>
      </c>
      <c r="L44" s="1">
        <v>3447000</v>
      </c>
      <c r="M44" s="1" t="s">
        <v>3735</v>
      </c>
      <c r="N44" s="1" t="s">
        <v>4181</v>
      </c>
      <c r="O44" s="1">
        <v>3428</v>
      </c>
      <c r="P44" s="64">
        <v>43073</v>
      </c>
      <c r="Q44" s="64">
        <v>46724</v>
      </c>
      <c r="R44" s="62" t="s">
        <v>2440</v>
      </c>
      <c r="S44" s="1" t="s">
        <v>2441</v>
      </c>
      <c r="T44" s="1" t="s">
        <v>2443</v>
      </c>
      <c r="U44" s="9" t="s">
        <v>296</v>
      </c>
      <c r="V44" s="9" t="s">
        <v>2641</v>
      </c>
      <c r="W44" s="9">
        <v>2550</v>
      </c>
      <c r="X44" s="60">
        <v>108936.92</v>
      </c>
      <c r="Y44" s="60">
        <v>100193.63</v>
      </c>
      <c r="Z44" s="2" t="s">
        <v>3761</v>
      </c>
      <c r="AA44" s="67">
        <v>43766</v>
      </c>
      <c r="AB44" s="50">
        <v>0.5812499999999999</v>
      </c>
      <c r="AC44" s="103"/>
      <c r="AD44" s="103"/>
      <c r="AE44" s="103"/>
      <c r="AF44" s="103"/>
      <c r="AG44" s="103"/>
      <c r="AH44" s="103"/>
      <c r="AI44" s="103"/>
      <c r="AJ44" s="103"/>
      <c r="AK44" s="103"/>
      <c r="AL44" s="103"/>
      <c r="AM44" s="117">
        <f t="shared" si="1"/>
        <v>0</v>
      </c>
      <c r="AN44" s="118">
        <f t="shared" si="0"/>
        <v>0</v>
      </c>
      <c r="AO44" s="2"/>
    </row>
    <row r="45" spans="1:41" ht="60.75" customHeight="1">
      <c r="A45" s="1">
        <v>33</v>
      </c>
      <c r="B45" s="1" t="s">
        <v>4</v>
      </c>
      <c r="C45" s="1" t="s">
        <v>4</v>
      </c>
      <c r="D45" s="1">
        <v>3</v>
      </c>
      <c r="E45" s="1" t="s">
        <v>317</v>
      </c>
      <c r="F45" s="9" t="s">
        <v>2025</v>
      </c>
      <c r="G45" s="1" t="s">
        <v>2452</v>
      </c>
      <c r="H45" s="1" t="s">
        <v>4166</v>
      </c>
      <c r="I45" s="1" t="s">
        <v>4127</v>
      </c>
      <c r="J45" s="63">
        <v>29104391</v>
      </c>
      <c r="K45" s="1" t="s">
        <v>2438</v>
      </c>
      <c r="L45" s="1">
        <v>3447000</v>
      </c>
      <c r="M45" s="1" t="s">
        <v>3735</v>
      </c>
      <c r="N45" s="1" t="s">
        <v>4181</v>
      </c>
      <c r="O45" s="1">
        <v>3428</v>
      </c>
      <c r="P45" s="64">
        <v>43073</v>
      </c>
      <c r="Q45" s="64">
        <v>46724</v>
      </c>
      <c r="R45" s="62" t="s">
        <v>2440</v>
      </c>
      <c r="S45" s="1" t="s">
        <v>2441</v>
      </c>
      <c r="T45" s="1" t="s">
        <v>2443</v>
      </c>
      <c r="U45" s="9" t="s">
        <v>2024</v>
      </c>
      <c r="V45" s="9" t="s">
        <v>2642</v>
      </c>
      <c r="W45" s="9">
        <v>2550</v>
      </c>
      <c r="X45" s="60">
        <v>109066.06</v>
      </c>
      <c r="Y45" s="60">
        <v>100171.69</v>
      </c>
      <c r="Z45" s="2" t="s">
        <v>3758</v>
      </c>
      <c r="AA45" s="67">
        <v>43766</v>
      </c>
      <c r="AB45" s="50">
        <v>0.5902777777777778</v>
      </c>
      <c r="AC45" s="103"/>
      <c r="AD45" s="103"/>
      <c r="AE45" s="103"/>
      <c r="AF45" s="103"/>
      <c r="AG45" s="103"/>
      <c r="AH45" s="103"/>
      <c r="AI45" s="103"/>
      <c r="AJ45" s="103"/>
      <c r="AK45" s="103"/>
      <c r="AL45" s="103"/>
      <c r="AM45" s="117">
        <f t="shared" si="1"/>
        <v>0</v>
      </c>
      <c r="AN45" s="118">
        <f t="shared" si="0"/>
        <v>0</v>
      </c>
      <c r="AO45" s="2"/>
    </row>
    <row r="46" spans="1:41" ht="67.5" customHeight="1">
      <c r="A46" s="1">
        <v>34</v>
      </c>
      <c r="B46" s="1" t="s">
        <v>4</v>
      </c>
      <c r="C46" s="1" t="s">
        <v>4</v>
      </c>
      <c r="D46" s="1">
        <v>3</v>
      </c>
      <c r="E46" s="1" t="s">
        <v>299</v>
      </c>
      <c r="F46" s="9" t="s">
        <v>298</v>
      </c>
      <c r="G46" s="1" t="s">
        <v>2452</v>
      </c>
      <c r="H46" s="1" t="s">
        <v>4166</v>
      </c>
      <c r="I46" s="1" t="s">
        <v>4127</v>
      </c>
      <c r="J46" s="63">
        <v>29104391</v>
      </c>
      <c r="K46" s="1" t="s">
        <v>2438</v>
      </c>
      <c r="L46" s="1">
        <v>3447000</v>
      </c>
      <c r="M46" s="1" t="s">
        <v>3735</v>
      </c>
      <c r="N46" s="1" t="s">
        <v>4181</v>
      </c>
      <c r="O46" s="1">
        <v>3428</v>
      </c>
      <c r="P46" s="64">
        <v>43073</v>
      </c>
      <c r="Q46" s="64">
        <v>46724</v>
      </c>
      <c r="R46" s="62" t="s">
        <v>2440</v>
      </c>
      <c r="S46" s="1" t="s">
        <v>2442</v>
      </c>
      <c r="T46" s="1" t="s">
        <v>2443</v>
      </c>
      <c r="U46" s="9" t="s">
        <v>297</v>
      </c>
      <c r="V46" s="9" t="s">
        <v>2643</v>
      </c>
      <c r="W46" s="9">
        <v>2550</v>
      </c>
      <c r="X46" s="60">
        <v>109112.7</v>
      </c>
      <c r="Y46" s="60">
        <v>100116.88</v>
      </c>
      <c r="Z46" s="2" t="s">
        <v>3761</v>
      </c>
      <c r="AA46" s="67">
        <v>43767</v>
      </c>
      <c r="AB46" s="50">
        <v>0.4173611111111111</v>
      </c>
      <c r="AC46" s="103"/>
      <c r="AD46" s="103"/>
      <c r="AE46" s="103"/>
      <c r="AF46" s="103"/>
      <c r="AG46" s="103"/>
      <c r="AH46" s="103"/>
      <c r="AI46" s="103"/>
      <c r="AJ46" s="103"/>
      <c r="AK46" s="103"/>
      <c r="AL46" s="103"/>
      <c r="AM46" s="117">
        <f t="shared" si="1"/>
        <v>0</v>
      </c>
      <c r="AN46" s="118">
        <f t="shared" si="0"/>
        <v>0</v>
      </c>
      <c r="AO46" s="2"/>
    </row>
    <row r="47" spans="1:41" ht="25.5">
      <c r="A47" s="1">
        <v>35</v>
      </c>
      <c r="B47" s="1" t="s">
        <v>4</v>
      </c>
      <c r="C47" s="1" t="s">
        <v>4</v>
      </c>
      <c r="D47" s="1">
        <v>3</v>
      </c>
      <c r="E47" s="1" t="s">
        <v>300</v>
      </c>
      <c r="F47" s="9" t="s">
        <v>309</v>
      </c>
      <c r="G47" s="1" t="s">
        <v>2452</v>
      </c>
      <c r="H47" s="1" t="s">
        <v>4166</v>
      </c>
      <c r="I47" s="1" t="s">
        <v>4127</v>
      </c>
      <c r="J47" s="63">
        <v>29104391</v>
      </c>
      <c r="K47" s="1" t="s">
        <v>2438</v>
      </c>
      <c r="L47" s="1">
        <v>3447000</v>
      </c>
      <c r="M47" s="1" t="s">
        <v>3735</v>
      </c>
      <c r="N47" s="1" t="s">
        <v>4181</v>
      </c>
      <c r="O47" s="1">
        <v>3428</v>
      </c>
      <c r="P47" s="64">
        <v>43073</v>
      </c>
      <c r="Q47" s="64">
        <v>46724</v>
      </c>
      <c r="R47" s="62" t="s">
        <v>2440</v>
      </c>
      <c r="S47" s="1" t="s">
        <v>2441</v>
      </c>
      <c r="T47" s="1" t="s">
        <v>2443</v>
      </c>
      <c r="U47" s="9" t="s">
        <v>305</v>
      </c>
      <c r="V47" s="9" t="s">
        <v>2644</v>
      </c>
      <c r="W47" s="9">
        <v>2550</v>
      </c>
      <c r="X47" s="60">
        <v>109198.43</v>
      </c>
      <c r="Y47" s="60">
        <v>100119.34</v>
      </c>
      <c r="Z47" s="2" t="s">
        <v>3741</v>
      </c>
      <c r="AA47" s="2"/>
      <c r="AB47" s="2"/>
      <c r="AC47" s="2"/>
      <c r="AD47" s="2"/>
      <c r="AE47" s="2"/>
      <c r="AF47" s="2"/>
      <c r="AG47" s="43"/>
      <c r="AH47" s="43"/>
      <c r="AI47" s="2"/>
      <c r="AJ47" s="1"/>
      <c r="AK47" s="1"/>
      <c r="AL47" s="1"/>
      <c r="AM47" s="44">
        <f t="shared" si="1"/>
        <v>0</v>
      </c>
      <c r="AN47" s="45">
        <f t="shared" si="0"/>
        <v>0</v>
      </c>
      <c r="AO47" s="2"/>
    </row>
    <row r="48" spans="1:41" ht="25.5">
      <c r="A48" s="1">
        <v>36</v>
      </c>
      <c r="B48" s="1" t="s">
        <v>4</v>
      </c>
      <c r="C48" s="1" t="s">
        <v>4</v>
      </c>
      <c r="D48" s="1">
        <v>3</v>
      </c>
      <c r="E48" s="1" t="s">
        <v>301</v>
      </c>
      <c r="F48" s="9" t="s">
        <v>310</v>
      </c>
      <c r="G48" s="1" t="s">
        <v>2452</v>
      </c>
      <c r="H48" s="1" t="s">
        <v>4166</v>
      </c>
      <c r="I48" s="1" t="s">
        <v>4127</v>
      </c>
      <c r="J48" s="63">
        <v>29104391</v>
      </c>
      <c r="K48" s="1" t="s">
        <v>2438</v>
      </c>
      <c r="L48" s="1">
        <v>3447000</v>
      </c>
      <c r="M48" s="1" t="s">
        <v>3735</v>
      </c>
      <c r="N48" s="1" t="s">
        <v>4181</v>
      </c>
      <c r="O48" s="1">
        <v>3428</v>
      </c>
      <c r="P48" s="64">
        <v>43073</v>
      </c>
      <c r="Q48" s="64">
        <v>46724</v>
      </c>
      <c r="R48" s="62" t="s">
        <v>2440</v>
      </c>
      <c r="S48" s="1" t="s">
        <v>2441</v>
      </c>
      <c r="T48" s="1" t="s">
        <v>2443</v>
      </c>
      <c r="U48" s="9" t="s">
        <v>306</v>
      </c>
      <c r="V48" s="9" t="s">
        <v>2645</v>
      </c>
      <c r="W48" s="9">
        <v>2550</v>
      </c>
      <c r="X48" s="60">
        <v>109480.37</v>
      </c>
      <c r="Y48" s="60">
        <v>100078.47</v>
      </c>
      <c r="Z48" s="2" t="s">
        <v>3741</v>
      </c>
      <c r="AA48" s="2"/>
      <c r="AB48" s="2"/>
      <c r="AC48" s="2"/>
      <c r="AD48" s="2"/>
      <c r="AE48" s="2"/>
      <c r="AF48" s="2"/>
      <c r="AG48" s="43"/>
      <c r="AH48" s="43"/>
      <c r="AI48" s="2"/>
      <c r="AJ48" s="1"/>
      <c r="AK48" s="1"/>
      <c r="AL48" s="1"/>
      <c r="AM48" s="44">
        <f t="shared" si="1"/>
        <v>0</v>
      </c>
      <c r="AN48" s="45">
        <f t="shared" si="0"/>
        <v>0</v>
      </c>
      <c r="AO48" s="2"/>
    </row>
    <row r="49" spans="1:41" ht="25.5">
      <c r="A49" s="1">
        <v>37</v>
      </c>
      <c r="B49" s="1" t="s">
        <v>4</v>
      </c>
      <c r="C49" s="1" t="s">
        <v>4</v>
      </c>
      <c r="D49" s="1">
        <v>3</v>
      </c>
      <c r="E49" s="1" t="s">
        <v>302</v>
      </c>
      <c r="F49" s="9" t="s">
        <v>311</v>
      </c>
      <c r="G49" s="1" t="s">
        <v>2452</v>
      </c>
      <c r="H49" s="1" t="s">
        <v>4166</v>
      </c>
      <c r="I49" s="1" t="s">
        <v>4127</v>
      </c>
      <c r="J49" s="63">
        <v>29104391</v>
      </c>
      <c r="K49" s="1" t="s">
        <v>2438</v>
      </c>
      <c r="L49" s="1">
        <v>3447000</v>
      </c>
      <c r="M49" s="1" t="s">
        <v>3735</v>
      </c>
      <c r="N49" s="1" t="s">
        <v>4181</v>
      </c>
      <c r="O49" s="1">
        <v>3428</v>
      </c>
      <c r="P49" s="64">
        <v>43073</v>
      </c>
      <c r="Q49" s="64">
        <v>46724</v>
      </c>
      <c r="R49" s="62" t="s">
        <v>2440</v>
      </c>
      <c r="S49" s="1" t="s">
        <v>2441</v>
      </c>
      <c r="T49" s="1" t="s">
        <v>2443</v>
      </c>
      <c r="U49" s="9" t="s">
        <v>307</v>
      </c>
      <c r="V49" s="9" t="s">
        <v>2646</v>
      </c>
      <c r="W49" s="9">
        <v>2551</v>
      </c>
      <c r="X49" s="60">
        <v>109549.58</v>
      </c>
      <c r="Y49" s="60">
        <v>100124.9</v>
      </c>
      <c r="Z49" s="2" t="s">
        <v>3741</v>
      </c>
      <c r="AA49" s="2"/>
      <c r="AB49" s="2"/>
      <c r="AC49" s="2"/>
      <c r="AD49" s="2"/>
      <c r="AE49" s="2"/>
      <c r="AF49" s="2"/>
      <c r="AG49" s="43"/>
      <c r="AH49" s="43"/>
      <c r="AI49" s="2"/>
      <c r="AJ49" s="1"/>
      <c r="AK49" s="1"/>
      <c r="AL49" s="1"/>
      <c r="AM49" s="44">
        <f t="shared" si="1"/>
        <v>0</v>
      </c>
      <c r="AN49" s="45">
        <f t="shared" si="0"/>
        <v>0</v>
      </c>
      <c r="AO49" s="2"/>
    </row>
    <row r="50" spans="1:41" ht="25.5">
      <c r="A50" s="1">
        <v>38</v>
      </c>
      <c r="B50" s="1" t="s">
        <v>4</v>
      </c>
      <c r="C50" s="1" t="s">
        <v>4</v>
      </c>
      <c r="D50" s="1">
        <v>3</v>
      </c>
      <c r="E50" s="1" t="s">
        <v>303</v>
      </c>
      <c r="F50" s="9" t="s">
        <v>304</v>
      </c>
      <c r="G50" s="1" t="s">
        <v>2452</v>
      </c>
      <c r="H50" s="1" t="s">
        <v>4166</v>
      </c>
      <c r="I50" s="1" t="s">
        <v>4127</v>
      </c>
      <c r="J50" s="63">
        <v>29104391</v>
      </c>
      <c r="K50" s="1" t="s">
        <v>2438</v>
      </c>
      <c r="L50" s="1">
        <v>3447000</v>
      </c>
      <c r="M50" s="1" t="s">
        <v>3735</v>
      </c>
      <c r="N50" s="1" t="s">
        <v>4181</v>
      </c>
      <c r="O50" s="1">
        <v>3428</v>
      </c>
      <c r="P50" s="64">
        <v>43073</v>
      </c>
      <c r="Q50" s="64">
        <v>46724</v>
      </c>
      <c r="R50" s="62" t="s">
        <v>2440</v>
      </c>
      <c r="S50" s="1" t="s">
        <v>2442</v>
      </c>
      <c r="T50" s="1" t="s">
        <v>2443</v>
      </c>
      <c r="U50" s="9" t="s">
        <v>2648</v>
      </c>
      <c r="V50" s="9" t="s">
        <v>308</v>
      </c>
      <c r="W50" s="9">
        <v>2549</v>
      </c>
      <c r="X50" s="60">
        <v>109704.77</v>
      </c>
      <c r="Y50" s="60">
        <v>100127.58</v>
      </c>
      <c r="Z50" s="2" t="s">
        <v>3741</v>
      </c>
      <c r="AA50" s="2"/>
      <c r="AB50" s="2"/>
      <c r="AC50" s="2"/>
      <c r="AD50" s="2"/>
      <c r="AE50" s="2"/>
      <c r="AF50" s="2"/>
      <c r="AG50" s="43"/>
      <c r="AH50" s="43"/>
      <c r="AI50" s="2"/>
      <c r="AJ50" s="1"/>
      <c r="AK50" s="1"/>
      <c r="AL50" s="1"/>
      <c r="AM50" s="44">
        <f t="shared" si="1"/>
        <v>0</v>
      </c>
      <c r="AN50" s="45">
        <f t="shared" si="0"/>
        <v>0</v>
      </c>
      <c r="AO50" s="2"/>
    </row>
    <row r="51" spans="1:41" ht="38.25">
      <c r="A51" s="1">
        <v>39</v>
      </c>
      <c r="B51" s="1" t="s">
        <v>4</v>
      </c>
      <c r="C51" s="1" t="s">
        <v>4</v>
      </c>
      <c r="D51" s="1">
        <v>3</v>
      </c>
      <c r="E51" s="1" t="s">
        <v>312</v>
      </c>
      <c r="F51" s="9" t="s">
        <v>2314</v>
      </c>
      <c r="G51" s="1" t="s">
        <v>2452</v>
      </c>
      <c r="H51" s="1" t="s">
        <v>4166</v>
      </c>
      <c r="I51" s="1" t="s">
        <v>4127</v>
      </c>
      <c r="J51" s="63">
        <v>29104391</v>
      </c>
      <c r="K51" s="1" t="s">
        <v>2438</v>
      </c>
      <c r="L51" s="1">
        <v>3447000</v>
      </c>
      <c r="M51" s="1" t="s">
        <v>3735</v>
      </c>
      <c r="N51" s="1" t="s">
        <v>4181</v>
      </c>
      <c r="O51" s="1">
        <v>3428</v>
      </c>
      <c r="P51" s="64">
        <v>43073</v>
      </c>
      <c r="Q51" s="64">
        <v>46724</v>
      </c>
      <c r="R51" s="62" t="s">
        <v>2440</v>
      </c>
      <c r="S51" s="9" t="s">
        <v>2441</v>
      </c>
      <c r="T51" s="1" t="s">
        <v>2443</v>
      </c>
      <c r="U51" s="9" t="s">
        <v>314</v>
      </c>
      <c r="V51" s="9" t="s">
        <v>2647</v>
      </c>
      <c r="W51" s="9">
        <v>2547</v>
      </c>
      <c r="X51" s="2">
        <v>109793.03</v>
      </c>
      <c r="Y51" s="2">
        <v>100122.433</v>
      </c>
      <c r="Z51" s="2" t="s">
        <v>3741</v>
      </c>
      <c r="AA51" s="2"/>
      <c r="AB51" s="2"/>
      <c r="AC51" s="2"/>
      <c r="AD51" s="2"/>
      <c r="AE51" s="2"/>
      <c r="AF51" s="2"/>
      <c r="AG51" s="43"/>
      <c r="AH51" s="43"/>
      <c r="AI51" s="2"/>
      <c r="AJ51" s="1"/>
      <c r="AK51" s="1"/>
      <c r="AL51" s="1"/>
      <c r="AM51" s="44">
        <f t="shared" si="1"/>
        <v>0</v>
      </c>
      <c r="AN51" s="45">
        <f t="shared" si="0"/>
        <v>0</v>
      </c>
      <c r="AO51" s="2"/>
    </row>
    <row r="52" spans="1:41" ht="75.75" customHeight="1">
      <c r="A52" s="1">
        <v>40</v>
      </c>
      <c r="B52" s="1" t="s">
        <v>4</v>
      </c>
      <c r="C52" s="1" t="s">
        <v>4</v>
      </c>
      <c r="D52" s="1">
        <v>3</v>
      </c>
      <c r="E52" s="1" t="s">
        <v>313</v>
      </c>
      <c r="F52" s="9" t="s">
        <v>2315</v>
      </c>
      <c r="G52" s="1" t="s">
        <v>2452</v>
      </c>
      <c r="H52" s="1" t="s">
        <v>4166</v>
      </c>
      <c r="I52" s="1" t="s">
        <v>4127</v>
      </c>
      <c r="J52" s="63">
        <v>29104391</v>
      </c>
      <c r="K52" s="1" t="s">
        <v>2438</v>
      </c>
      <c r="L52" s="1">
        <v>3447000</v>
      </c>
      <c r="M52" s="1" t="s">
        <v>3735</v>
      </c>
      <c r="N52" s="1" t="s">
        <v>4181</v>
      </c>
      <c r="O52" s="1">
        <v>3428</v>
      </c>
      <c r="P52" s="64">
        <v>43073</v>
      </c>
      <c r="Q52" s="64">
        <v>46724</v>
      </c>
      <c r="R52" s="62" t="s">
        <v>2440</v>
      </c>
      <c r="S52" s="1" t="s">
        <v>2442</v>
      </c>
      <c r="T52" s="1" t="s">
        <v>2443</v>
      </c>
      <c r="U52" s="9" t="s">
        <v>2313</v>
      </c>
      <c r="V52" s="9" t="s">
        <v>315</v>
      </c>
      <c r="W52" s="9">
        <v>2547</v>
      </c>
      <c r="X52" s="60">
        <v>109756.14</v>
      </c>
      <c r="Y52" s="60">
        <v>100072.79</v>
      </c>
      <c r="Z52" s="2" t="s">
        <v>3761</v>
      </c>
      <c r="AA52" s="67">
        <v>43766</v>
      </c>
      <c r="AB52" s="50">
        <v>0.6041666666666666</v>
      </c>
      <c r="AC52" s="103"/>
      <c r="AD52" s="103"/>
      <c r="AE52" s="103"/>
      <c r="AF52" s="103"/>
      <c r="AG52" s="103"/>
      <c r="AH52" s="103"/>
      <c r="AI52" s="103"/>
      <c r="AJ52" s="103"/>
      <c r="AK52" s="103"/>
      <c r="AL52" s="103"/>
      <c r="AM52" s="117">
        <f t="shared" si="1"/>
        <v>0</v>
      </c>
      <c r="AN52" s="118">
        <f t="shared" si="0"/>
        <v>0</v>
      </c>
      <c r="AO52" s="2"/>
    </row>
    <row r="53" spans="1:41" ht="75.75" customHeight="1">
      <c r="A53" s="1">
        <v>41</v>
      </c>
      <c r="B53" s="1" t="s">
        <v>4</v>
      </c>
      <c r="C53" s="1" t="s">
        <v>4</v>
      </c>
      <c r="D53" s="1">
        <v>3</v>
      </c>
      <c r="E53" s="1" t="s">
        <v>3963</v>
      </c>
      <c r="F53" s="62" t="s">
        <v>2448</v>
      </c>
      <c r="G53" s="21" t="s">
        <v>2454</v>
      </c>
      <c r="H53" s="1" t="s">
        <v>4166</v>
      </c>
      <c r="I53" s="1" t="s">
        <v>4127</v>
      </c>
      <c r="J53" s="63">
        <v>29104391</v>
      </c>
      <c r="K53" s="1" t="s">
        <v>2438</v>
      </c>
      <c r="L53" s="1">
        <v>3447000</v>
      </c>
      <c r="M53" s="1" t="s">
        <v>3735</v>
      </c>
      <c r="N53" s="1" t="s">
        <v>4181</v>
      </c>
      <c r="O53" s="1">
        <v>3428</v>
      </c>
      <c r="P53" s="64">
        <v>43073</v>
      </c>
      <c r="Q53" s="64">
        <v>46724</v>
      </c>
      <c r="R53" s="62" t="s">
        <v>2440</v>
      </c>
      <c r="S53" s="30" t="s">
        <v>2436</v>
      </c>
      <c r="T53" s="21" t="s">
        <v>2443</v>
      </c>
      <c r="U53" s="1" t="s">
        <v>3964</v>
      </c>
      <c r="V53" s="1" t="s">
        <v>3965</v>
      </c>
      <c r="W53" s="1"/>
      <c r="X53" s="60"/>
      <c r="Y53" s="60"/>
      <c r="Z53" s="69" t="s">
        <v>4008</v>
      </c>
      <c r="AA53" s="67">
        <v>43755</v>
      </c>
      <c r="AB53" s="2" t="s">
        <v>2458</v>
      </c>
      <c r="AC53" s="2">
        <v>22</v>
      </c>
      <c r="AD53" s="2">
        <v>13.8</v>
      </c>
      <c r="AE53" s="134">
        <v>4.444</v>
      </c>
      <c r="AF53" s="69">
        <v>24</v>
      </c>
      <c r="AG53" s="102">
        <f>AE53*AC53*AF53*0.0036</f>
        <v>8.4471552</v>
      </c>
      <c r="AH53" s="102">
        <f>AE53*AD53*AF53*0.0036</f>
        <v>5.29867008</v>
      </c>
      <c r="AI53" s="2">
        <v>30</v>
      </c>
      <c r="AJ53" s="1">
        <v>12</v>
      </c>
      <c r="AK53" s="1">
        <v>0.54</v>
      </c>
      <c r="AL53" s="1">
        <v>0.52</v>
      </c>
      <c r="AM53" s="44">
        <f t="shared" si="1"/>
        <v>1642.12697088</v>
      </c>
      <c r="AN53" s="45">
        <f t="shared" si="0"/>
        <v>991.9110389760002</v>
      </c>
      <c r="AO53" s="2" t="s">
        <v>2456</v>
      </c>
    </row>
    <row r="54" spans="1:41" ht="12.75" customHeight="1">
      <c r="A54" s="226" t="s">
        <v>2481</v>
      </c>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119">
        <f>'Subcuencas río Salitre'!AM40</f>
        <v>1721773.908430207</v>
      </c>
      <c r="AN54" s="119">
        <f>'Subcuencas río Salitre'!AN40</f>
        <v>1348131.7882314827</v>
      </c>
      <c r="AO54" s="2"/>
    </row>
    <row r="55" spans="1:43" ht="12.75" customHeight="1">
      <c r="A55" s="227" t="s">
        <v>2482</v>
      </c>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73">
        <f>'Subcuencas río Salitre'!AM41</f>
        <v>1748139.549953407</v>
      </c>
      <c r="AN55" s="73">
        <f>'Subcuencas río Salitre'!AN41</f>
        <v>1405416.3982794832</v>
      </c>
      <c r="AO55" s="2"/>
      <c r="AP55" s="98"/>
      <c r="AQ55" s="98"/>
    </row>
    <row r="56" spans="1:42" ht="12.75">
      <c r="A56" s="226" t="s">
        <v>2414</v>
      </c>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119">
        <f>AM20+AM21+AM22+AM25+AM26+AM27+AM31+AM34+AM36+AM44+AM45+AM46+AM52+AM54</f>
        <v>4936828.516040227</v>
      </c>
      <c r="AN56" s="119">
        <f>AN20+AN21+AN22+AN25+AN26+AN27+AN31+AN34+AN36+AN44+AN45+AN46+AN52+AN54</f>
        <v>3558207.3800031743</v>
      </c>
      <c r="AO56" s="2"/>
      <c r="AP56" s="98"/>
    </row>
    <row r="57" spans="1:43" ht="12.75">
      <c r="A57" s="227" t="s">
        <v>2415</v>
      </c>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73">
        <f>SUM(AM20:AM53)+AM55-AM32-AM33-AM37-AM38-AM23-AM24</f>
        <v>4964836.284534306</v>
      </c>
      <c r="AN57" s="73">
        <f>SUM(AN20:AN53)+AN55-AN32-AN33-AN37-AN38-AN23-AN24</f>
        <v>3616483.901090151</v>
      </c>
      <c r="AO57" s="2"/>
      <c r="AP57" s="98"/>
      <c r="AQ57" s="98"/>
    </row>
    <row r="58" spans="1:41" ht="25.5">
      <c r="A58" s="1">
        <v>42</v>
      </c>
      <c r="B58" s="1" t="s">
        <v>4</v>
      </c>
      <c r="C58" s="1" t="s">
        <v>4</v>
      </c>
      <c r="D58" s="1">
        <v>4</v>
      </c>
      <c r="E58" s="1" t="s">
        <v>321</v>
      </c>
      <c r="F58" s="9" t="s">
        <v>324</v>
      </c>
      <c r="G58" s="9" t="s">
        <v>2453</v>
      </c>
      <c r="H58" s="1" t="s">
        <v>4166</v>
      </c>
      <c r="I58" s="1" t="s">
        <v>4127</v>
      </c>
      <c r="J58" s="63">
        <v>29104391</v>
      </c>
      <c r="K58" s="1" t="s">
        <v>2438</v>
      </c>
      <c r="L58" s="1">
        <v>3447000</v>
      </c>
      <c r="M58" s="1" t="s">
        <v>3735</v>
      </c>
      <c r="N58" s="1" t="s">
        <v>4181</v>
      </c>
      <c r="O58" s="1">
        <v>3428</v>
      </c>
      <c r="P58" s="64">
        <v>43073</v>
      </c>
      <c r="Q58" s="64">
        <v>46724</v>
      </c>
      <c r="R58" s="62" t="s">
        <v>2440</v>
      </c>
      <c r="S58" s="1" t="s">
        <v>2441</v>
      </c>
      <c r="T58" s="1" t="s">
        <v>2443</v>
      </c>
      <c r="U58" s="9" t="s">
        <v>2649</v>
      </c>
      <c r="V58" s="9" t="s">
        <v>327</v>
      </c>
      <c r="W58" s="9">
        <v>2546</v>
      </c>
      <c r="X58" s="60">
        <v>109891.06</v>
      </c>
      <c r="Y58" s="60">
        <v>99994.4</v>
      </c>
      <c r="Z58" s="2" t="s">
        <v>3741</v>
      </c>
      <c r="AA58" s="2"/>
      <c r="AB58" s="2"/>
      <c r="AC58" s="2"/>
      <c r="AD58" s="2"/>
      <c r="AE58" s="2"/>
      <c r="AF58" s="2"/>
      <c r="AG58" s="43"/>
      <c r="AH58" s="43"/>
      <c r="AI58" s="2"/>
      <c r="AJ58" s="1"/>
      <c r="AK58" s="1"/>
      <c r="AL58" s="1"/>
      <c r="AM58" s="44">
        <f t="shared" si="1"/>
        <v>0</v>
      </c>
      <c r="AN58" s="45">
        <f t="shared" si="0"/>
        <v>0</v>
      </c>
      <c r="AO58" s="2"/>
    </row>
    <row r="59" spans="1:41" ht="25.5">
      <c r="A59" s="1">
        <v>43</v>
      </c>
      <c r="B59" s="1" t="s">
        <v>4</v>
      </c>
      <c r="C59" s="1" t="s">
        <v>4</v>
      </c>
      <c r="D59" s="1">
        <v>4</v>
      </c>
      <c r="E59" s="1" t="s">
        <v>322</v>
      </c>
      <c r="F59" s="9" t="s">
        <v>325</v>
      </c>
      <c r="G59" s="9" t="s">
        <v>2453</v>
      </c>
      <c r="H59" s="1" t="s">
        <v>4166</v>
      </c>
      <c r="I59" s="1" t="s">
        <v>4127</v>
      </c>
      <c r="J59" s="63">
        <v>29104391</v>
      </c>
      <c r="K59" s="1" t="s">
        <v>2438</v>
      </c>
      <c r="L59" s="1">
        <v>3447000</v>
      </c>
      <c r="M59" s="1" t="s">
        <v>3735</v>
      </c>
      <c r="N59" s="1" t="s">
        <v>4181</v>
      </c>
      <c r="O59" s="1">
        <v>3428</v>
      </c>
      <c r="P59" s="64">
        <v>43073</v>
      </c>
      <c r="Q59" s="64">
        <v>46724</v>
      </c>
      <c r="R59" s="62" t="s">
        <v>2440</v>
      </c>
      <c r="S59" s="1" t="s">
        <v>2442</v>
      </c>
      <c r="T59" s="1" t="s">
        <v>2443</v>
      </c>
      <c r="U59" s="9" t="s">
        <v>2650</v>
      </c>
      <c r="V59" s="9" t="s">
        <v>328</v>
      </c>
      <c r="W59" s="9">
        <v>2551</v>
      </c>
      <c r="X59" s="60">
        <v>110016.47</v>
      </c>
      <c r="Y59" s="60">
        <v>99885.13</v>
      </c>
      <c r="Z59" s="2" t="s">
        <v>3741</v>
      </c>
      <c r="AA59" s="2"/>
      <c r="AB59" s="2"/>
      <c r="AC59" s="2"/>
      <c r="AD59" s="2"/>
      <c r="AE59" s="2"/>
      <c r="AF59" s="2"/>
      <c r="AG59" s="43"/>
      <c r="AH59" s="43"/>
      <c r="AI59" s="2"/>
      <c r="AJ59" s="1"/>
      <c r="AK59" s="1"/>
      <c r="AL59" s="1"/>
      <c r="AM59" s="44">
        <f t="shared" si="1"/>
        <v>0</v>
      </c>
      <c r="AN59" s="45">
        <f t="shared" si="0"/>
        <v>0</v>
      </c>
      <c r="AO59" s="2"/>
    </row>
    <row r="60" spans="1:41" ht="51">
      <c r="A60" s="1">
        <v>44</v>
      </c>
      <c r="B60" s="1" t="s">
        <v>4</v>
      </c>
      <c r="C60" s="1" t="s">
        <v>4</v>
      </c>
      <c r="D60" s="1">
        <v>4</v>
      </c>
      <c r="E60" s="1" t="s">
        <v>323</v>
      </c>
      <c r="F60" s="9" t="s">
        <v>326</v>
      </c>
      <c r="G60" s="9" t="s">
        <v>2454</v>
      </c>
      <c r="H60" s="1" t="s">
        <v>4166</v>
      </c>
      <c r="I60" s="1" t="s">
        <v>4127</v>
      </c>
      <c r="J60" s="63">
        <v>29104391</v>
      </c>
      <c r="K60" s="1" t="s">
        <v>2438</v>
      </c>
      <c r="L60" s="1">
        <v>3447000</v>
      </c>
      <c r="M60" s="1" t="s">
        <v>3735</v>
      </c>
      <c r="N60" s="1" t="s">
        <v>4181</v>
      </c>
      <c r="O60" s="1">
        <v>3428</v>
      </c>
      <c r="P60" s="64">
        <v>43073</v>
      </c>
      <c r="Q60" s="64">
        <v>46724</v>
      </c>
      <c r="R60" s="62" t="s">
        <v>2440</v>
      </c>
      <c r="S60" s="1" t="s">
        <v>2441</v>
      </c>
      <c r="T60" s="1" t="s">
        <v>2443</v>
      </c>
      <c r="U60" s="9" t="s">
        <v>2651</v>
      </c>
      <c r="V60" s="9" t="s">
        <v>329</v>
      </c>
      <c r="W60" s="9">
        <v>2550</v>
      </c>
      <c r="X60" s="60">
        <v>110039.2</v>
      </c>
      <c r="Y60" s="60">
        <v>99910.02</v>
      </c>
      <c r="Z60" s="2" t="s">
        <v>4028</v>
      </c>
      <c r="AA60" s="67">
        <v>43766</v>
      </c>
      <c r="AB60" s="50">
        <v>0.611111111111111</v>
      </c>
      <c r="AC60" s="103"/>
      <c r="AD60" s="103"/>
      <c r="AE60" s="103"/>
      <c r="AF60" s="103"/>
      <c r="AG60" s="103"/>
      <c r="AH60" s="103"/>
      <c r="AI60" s="103"/>
      <c r="AJ60" s="103"/>
      <c r="AK60" s="103"/>
      <c r="AL60" s="103"/>
      <c r="AM60" s="117">
        <v>47023.48616220482</v>
      </c>
      <c r="AN60" s="118">
        <v>12596.906341334508</v>
      </c>
      <c r="AO60" s="2" t="s">
        <v>2456</v>
      </c>
    </row>
    <row r="61" spans="1:41" ht="25.5">
      <c r="A61" s="1">
        <v>45</v>
      </c>
      <c r="B61" s="1" t="s">
        <v>4</v>
      </c>
      <c r="C61" s="1" t="s">
        <v>4</v>
      </c>
      <c r="D61" s="1">
        <v>4</v>
      </c>
      <c r="E61" s="1" t="s">
        <v>2122</v>
      </c>
      <c r="F61" s="9" t="s">
        <v>2123</v>
      </c>
      <c r="G61" s="9" t="s">
        <v>2453</v>
      </c>
      <c r="H61" s="1" t="s">
        <v>4166</v>
      </c>
      <c r="I61" s="1" t="s">
        <v>4127</v>
      </c>
      <c r="J61" s="63">
        <v>29104391</v>
      </c>
      <c r="K61" s="1" t="s">
        <v>2438</v>
      </c>
      <c r="L61" s="1">
        <v>3447000</v>
      </c>
      <c r="M61" s="1" t="s">
        <v>3735</v>
      </c>
      <c r="N61" s="1" t="s">
        <v>4181</v>
      </c>
      <c r="O61" s="1">
        <v>3428</v>
      </c>
      <c r="P61" s="64">
        <v>43073</v>
      </c>
      <c r="Q61" s="64">
        <v>46724</v>
      </c>
      <c r="R61" s="62" t="s">
        <v>2440</v>
      </c>
      <c r="S61" s="1" t="s">
        <v>2442</v>
      </c>
      <c r="T61" s="1" t="s">
        <v>2443</v>
      </c>
      <c r="U61" s="9" t="s">
        <v>2124</v>
      </c>
      <c r="V61" s="9" t="s">
        <v>2656</v>
      </c>
      <c r="W61" s="9">
        <v>2551</v>
      </c>
      <c r="X61" s="60">
        <v>110054.22</v>
      </c>
      <c r="Y61" s="60">
        <v>99851.02</v>
      </c>
      <c r="Z61" s="2" t="s">
        <v>3741</v>
      </c>
      <c r="AA61" s="2"/>
      <c r="AB61" s="2"/>
      <c r="AC61" s="2"/>
      <c r="AD61" s="2"/>
      <c r="AE61" s="2"/>
      <c r="AF61" s="2"/>
      <c r="AG61" s="43"/>
      <c r="AH61" s="43"/>
      <c r="AI61" s="2"/>
      <c r="AJ61" s="1"/>
      <c r="AK61" s="1"/>
      <c r="AL61" s="1"/>
      <c r="AM61" s="44">
        <f t="shared" si="1"/>
        <v>0</v>
      </c>
      <c r="AN61" s="45">
        <f t="shared" si="0"/>
        <v>0</v>
      </c>
      <c r="AO61" s="2"/>
    </row>
    <row r="62" spans="1:41" ht="47.25" customHeight="1">
      <c r="A62" s="1">
        <v>46</v>
      </c>
      <c r="B62" s="1" t="s">
        <v>4</v>
      </c>
      <c r="C62" s="1" t="s">
        <v>4</v>
      </c>
      <c r="D62" s="1">
        <v>4</v>
      </c>
      <c r="E62" s="1" t="s">
        <v>330</v>
      </c>
      <c r="F62" s="9" t="s">
        <v>336</v>
      </c>
      <c r="G62" s="9" t="s">
        <v>2453</v>
      </c>
      <c r="H62" s="1" t="s">
        <v>4166</v>
      </c>
      <c r="I62" s="1" t="s">
        <v>4127</v>
      </c>
      <c r="J62" s="63">
        <v>29104391</v>
      </c>
      <c r="K62" s="1" t="s">
        <v>2438</v>
      </c>
      <c r="L62" s="1">
        <v>3447000</v>
      </c>
      <c r="M62" s="1" t="s">
        <v>3735</v>
      </c>
      <c r="N62" s="1" t="s">
        <v>4181</v>
      </c>
      <c r="O62" s="1">
        <v>3428</v>
      </c>
      <c r="P62" s="64">
        <v>43073</v>
      </c>
      <c r="Q62" s="64">
        <v>46724</v>
      </c>
      <c r="R62" s="62" t="s">
        <v>2440</v>
      </c>
      <c r="S62" s="1" t="s">
        <v>2442</v>
      </c>
      <c r="T62" s="1" t="s">
        <v>2443</v>
      </c>
      <c r="U62" s="9" t="s">
        <v>2652</v>
      </c>
      <c r="V62" s="9" t="s">
        <v>333</v>
      </c>
      <c r="W62" s="9">
        <v>2549</v>
      </c>
      <c r="X62" s="60">
        <v>110200.53</v>
      </c>
      <c r="Y62" s="60">
        <v>99748.33</v>
      </c>
      <c r="Z62" s="2" t="s">
        <v>4046</v>
      </c>
      <c r="AA62" s="67">
        <v>43766</v>
      </c>
      <c r="AB62" s="2" t="s">
        <v>2411</v>
      </c>
      <c r="AC62" s="2"/>
      <c r="AD62" s="2"/>
      <c r="AE62" s="2"/>
      <c r="AF62" s="2"/>
      <c r="AG62" s="43"/>
      <c r="AH62" s="43"/>
      <c r="AI62" s="2"/>
      <c r="AJ62" s="1"/>
      <c r="AK62" s="1"/>
      <c r="AL62" s="1"/>
      <c r="AM62" s="117">
        <f>AVERAGE(AM63:AM64)</f>
        <v>864.8935315199998</v>
      </c>
      <c r="AN62" s="117">
        <f>AVERAGE(AN63:AN64)</f>
        <v>368.9976383999999</v>
      </c>
      <c r="AO62" s="2" t="s">
        <v>2456</v>
      </c>
    </row>
    <row r="63" spans="1:41" ht="47.25" customHeight="1">
      <c r="A63" s="1"/>
      <c r="B63" s="1"/>
      <c r="C63" s="1"/>
      <c r="D63" s="1"/>
      <c r="E63" s="1"/>
      <c r="F63" s="9"/>
      <c r="G63" s="9"/>
      <c r="H63" s="1"/>
      <c r="I63" s="1"/>
      <c r="J63" s="63"/>
      <c r="K63" s="1"/>
      <c r="L63" s="1"/>
      <c r="M63" s="1"/>
      <c r="N63" s="1"/>
      <c r="O63" s="1"/>
      <c r="P63" s="64"/>
      <c r="Q63" s="64"/>
      <c r="R63" s="62"/>
      <c r="S63" s="1"/>
      <c r="T63" s="1"/>
      <c r="U63" s="9"/>
      <c r="V63" s="9"/>
      <c r="W63" s="9"/>
      <c r="X63" s="60"/>
      <c r="Y63" s="60"/>
      <c r="Z63" s="2" t="s">
        <v>3753</v>
      </c>
      <c r="AA63" s="67">
        <v>43766</v>
      </c>
      <c r="AB63" s="2" t="s">
        <v>2411</v>
      </c>
      <c r="AC63" s="2">
        <v>307</v>
      </c>
      <c r="AD63" s="2">
        <v>114</v>
      </c>
      <c r="AE63" s="2">
        <v>0.143</v>
      </c>
      <c r="AF63" s="2">
        <v>24</v>
      </c>
      <c r="AG63" s="102">
        <f>AE63*AC63*AF63*0.0036</f>
        <v>3.7930463999999993</v>
      </c>
      <c r="AH63" s="102">
        <f>AE63*AD63*AF63*0.0036</f>
        <v>1.4084927999999999</v>
      </c>
      <c r="AI63" s="2">
        <v>30</v>
      </c>
      <c r="AJ63" s="1">
        <v>12</v>
      </c>
      <c r="AK63" s="1">
        <v>0.51</v>
      </c>
      <c r="AL63" s="1">
        <v>0.48</v>
      </c>
      <c r="AM63" s="127">
        <f>AG63*AI63*AJ63*AK63</f>
        <v>696.4033190399998</v>
      </c>
      <c r="AN63" s="128">
        <f>AH63*AI63*AJ63*AL63</f>
        <v>243.38755583999995</v>
      </c>
      <c r="AO63" s="2"/>
    </row>
    <row r="64" spans="1:41" ht="47.25" customHeight="1">
      <c r="A64" s="1"/>
      <c r="B64" s="1"/>
      <c r="C64" s="1"/>
      <c r="D64" s="1"/>
      <c r="E64" s="1"/>
      <c r="F64" s="9"/>
      <c r="G64" s="9"/>
      <c r="H64" s="1"/>
      <c r="I64" s="1"/>
      <c r="J64" s="63"/>
      <c r="K64" s="1"/>
      <c r="L64" s="1"/>
      <c r="M64" s="1"/>
      <c r="N64" s="1"/>
      <c r="O64" s="1"/>
      <c r="P64" s="64"/>
      <c r="Q64" s="64"/>
      <c r="R64" s="62"/>
      <c r="S64" s="1"/>
      <c r="T64" s="1"/>
      <c r="U64" s="9"/>
      <c r="V64" s="9"/>
      <c r="W64" s="9"/>
      <c r="X64" s="60"/>
      <c r="Y64" s="60"/>
      <c r="Z64" s="2" t="s">
        <v>4137</v>
      </c>
      <c r="AA64" s="47">
        <v>43718</v>
      </c>
      <c r="AB64" s="2" t="s">
        <v>3766</v>
      </c>
      <c r="AC64" s="2">
        <v>321</v>
      </c>
      <c r="AD64" s="2">
        <v>167</v>
      </c>
      <c r="AE64" s="2">
        <v>0.13799999999999998</v>
      </c>
      <c r="AF64" s="2">
        <v>24</v>
      </c>
      <c r="AG64" s="102">
        <f>AE64*AC64*AF64*0.0036</f>
        <v>3.8273471999999993</v>
      </c>
      <c r="AH64" s="102">
        <f>AE64*AD64*AF64*0.0036</f>
        <v>1.9911743999999998</v>
      </c>
      <c r="AI64" s="2">
        <v>30</v>
      </c>
      <c r="AJ64" s="1">
        <v>12</v>
      </c>
      <c r="AK64" s="1">
        <v>0.75</v>
      </c>
      <c r="AL64" s="1">
        <v>0.69</v>
      </c>
      <c r="AM64" s="127">
        <f>AG64*AI64*AJ64*AK64</f>
        <v>1033.3837439999998</v>
      </c>
      <c r="AN64" s="128">
        <f>AH64*AI64*AJ64*AL64</f>
        <v>494.60772095999994</v>
      </c>
      <c r="AO64" s="2"/>
    </row>
    <row r="65" spans="1:41" ht="80.25" customHeight="1">
      <c r="A65" s="1">
        <v>47</v>
      </c>
      <c r="B65" s="1" t="s">
        <v>4</v>
      </c>
      <c r="C65" s="1" t="s">
        <v>4</v>
      </c>
      <c r="D65" s="1">
        <v>4</v>
      </c>
      <c r="E65" s="1" t="s">
        <v>331</v>
      </c>
      <c r="F65" s="9" t="s">
        <v>337</v>
      </c>
      <c r="G65" s="9" t="s">
        <v>2453</v>
      </c>
      <c r="H65" s="1" t="s">
        <v>4166</v>
      </c>
      <c r="I65" s="1" t="s">
        <v>4127</v>
      </c>
      <c r="J65" s="63">
        <v>29104391</v>
      </c>
      <c r="K65" s="1" t="s">
        <v>2438</v>
      </c>
      <c r="L65" s="1">
        <v>3447000</v>
      </c>
      <c r="M65" s="1" t="s">
        <v>3735</v>
      </c>
      <c r="N65" s="1" t="s">
        <v>4181</v>
      </c>
      <c r="O65" s="1">
        <v>3428</v>
      </c>
      <c r="P65" s="64">
        <v>43073</v>
      </c>
      <c r="Q65" s="64">
        <v>46724</v>
      </c>
      <c r="R65" s="62" t="s">
        <v>2440</v>
      </c>
      <c r="S65" s="1" t="s">
        <v>2441</v>
      </c>
      <c r="T65" s="1" t="s">
        <v>2443</v>
      </c>
      <c r="U65" s="9" t="s">
        <v>2653</v>
      </c>
      <c r="V65" s="9" t="s">
        <v>334</v>
      </c>
      <c r="W65" s="9">
        <v>2549</v>
      </c>
      <c r="X65" s="60">
        <v>110260.43</v>
      </c>
      <c r="Y65" s="60">
        <v>99747.59</v>
      </c>
      <c r="Z65" s="2" t="s">
        <v>4061</v>
      </c>
      <c r="AA65" s="47">
        <v>43718</v>
      </c>
      <c r="AB65" s="2" t="s">
        <v>2459</v>
      </c>
      <c r="AC65" s="2">
        <v>152</v>
      </c>
      <c r="AD65" s="2">
        <v>85</v>
      </c>
      <c r="AE65" s="2">
        <v>2.35</v>
      </c>
      <c r="AF65" s="2">
        <v>24</v>
      </c>
      <c r="AG65" s="102">
        <f>AE65*AC65*AF65*0.0036</f>
        <v>30.862079999999995</v>
      </c>
      <c r="AH65" s="102">
        <f>AE65*AD65*AF65*0.0036</f>
        <v>17.258399999999998</v>
      </c>
      <c r="AI65" s="2">
        <v>30</v>
      </c>
      <c r="AJ65" s="1">
        <v>12</v>
      </c>
      <c r="AK65" s="1">
        <v>0.56</v>
      </c>
      <c r="AL65" s="1">
        <v>0.47</v>
      </c>
      <c r="AM65" s="44">
        <f t="shared" si="1"/>
        <v>6221.795327999999</v>
      </c>
      <c r="AN65" s="45">
        <f t="shared" si="0"/>
        <v>2920.1212799999994</v>
      </c>
      <c r="AO65" s="2" t="s">
        <v>2456</v>
      </c>
    </row>
    <row r="66" spans="1:41" ht="51">
      <c r="A66" s="1">
        <v>48</v>
      </c>
      <c r="B66" s="1" t="s">
        <v>4</v>
      </c>
      <c r="C66" s="1" t="s">
        <v>4</v>
      </c>
      <c r="D66" s="1">
        <v>4</v>
      </c>
      <c r="E66" s="1" t="s">
        <v>332</v>
      </c>
      <c r="F66" s="9" t="s">
        <v>338</v>
      </c>
      <c r="G66" s="9" t="s">
        <v>2453</v>
      </c>
      <c r="H66" s="1" t="s">
        <v>4166</v>
      </c>
      <c r="I66" s="1" t="s">
        <v>4127</v>
      </c>
      <c r="J66" s="63">
        <v>29104391</v>
      </c>
      <c r="K66" s="1" t="s">
        <v>2438</v>
      </c>
      <c r="L66" s="1">
        <v>3447000</v>
      </c>
      <c r="M66" s="1" t="s">
        <v>3735</v>
      </c>
      <c r="N66" s="1" t="s">
        <v>4181</v>
      </c>
      <c r="O66" s="1">
        <v>3428</v>
      </c>
      <c r="P66" s="64">
        <v>43073</v>
      </c>
      <c r="Q66" s="64">
        <v>46724</v>
      </c>
      <c r="R66" s="62" t="s">
        <v>2440</v>
      </c>
      <c r="S66" s="1" t="s">
        <v>2441</v>
      </c>
      <c r="T66" s="1" t="s">
        <v>2443</v>
      </c>
      <c r="U66" s="9" t="s">
        <v>2654</v>
      </c>
      <c r="V66" s="9" t="s">
        <v>335</v>
      </c>
      <c r="W66" s="9">
        <v>2550</v>
      </c>
      <c r="X66" s="60">
        <v>110323.85</v>
      </c>
      <c r="Y66" s="60">
        <v>99710.29</v>
      </c>
      <c r="Z66" s="2" t="s">
        <v>4033</v>
      </c>
      <c r="AA66" s="67">
        <v>43766</v>
      </c>
      <c r="AB66" s="50">
        <v>0.6180555555555556</v>
      </c>
      <c r="AC66" s="103"/>
      <c r="AD66" s="103"/>
      <c r="AE66" s="103"/>
      <c r="AF66" s="103"/>
      <c r="AG66" s="103"/>
      <c r="AH66" s="103"/>
      <c r="AI66" s="103"/>
      <c r="AJ66" s="103"/>
      <c r="AK66" s="103"/>
      <c r="AL66" s="103"/>
      <c r="AM66" s="117">
        <v>1530.9926409947582</v>
      </c>
      <c r="AN66" s="118">
        <v>612.3238469470487</v>
      </c>
      <c r="AO66" s="2" t="s">
        <v>2456</v>
      </c>
    </row>
    <row r="67" spans="1:41" ht="76.5">
      <c r="A67" s="1">
        <v>49</v>
      </c>
      <c r="B67" s="1" t="s">
        <v>4</v>
      </c>
      <c r="C67" s="1" t="s">
        <v>4</v>
      </c>
      <c r="D67" s="1">
        <v>4</v>
      </c>
      <c r="E67" s="1" t="s">
        <v>339</v>
      </c>
      <c r="F67" s="1" t="s">
        <v>340</v>
      </c>
      <c r="G67" s="9" t="s">
        <v>2453</v>
      </c>
      <c r="H67" s="1" t="s">
        <v>4166</v>
      </c>
      <c r="I67" s="1" t="s">
        <v>4127</v>
      </c>
      <c r="J67" s="63">
        <v>29104391</v>
      </c>
      <c r="K67" s="1" t="s">
        <v>2438</v>
      </c>
      <c r="L67" s="1">
        <v>3447000</v>
      </c>
      <c r="M67" s="1" t="s">
        <v>3735</v>
      </c>
      <c r="N67" s="1" t="s">
        <v>4181</v>
      </c>
      <c r="O67" s="1">
        <v>3428</v>
      </c>
      <c r="P67" s="64">
        <v>43073</v>
      </c>
      <c r="Q67" s="64">
        <v>46724</v>
      </c>
      <c r="R67" s="62" t="s">
        <v>2440</v>
      </c>
      <c r="S67" s="1" t="s">
        <v>2442</v>
      </c>
      <c r="T67" s="1" t="s">
        <v>2444</v>
      </c>
      <c r="U67" s="9" t="s">
        <v>2655</v>
      </c>
      <c r="V67" s="9" t="s">
        <v>2657</v>
      </c>
      <c r="W67" s="9">
        <v>2549</v>
      </c>
      <c r="X67" s="60">
        <v>110479.19</v>
      </c>
      <c r="Y67" s="60">
        <v>99608.34</v>
      </c>
      <c r="Z67" s="2" t="s">
        <v>4138</v>
      </c>
      <c r="AA67" s="67">
        <v>43675</v>
      </c>
      <c r="AB67" s="50">
        <v>0.6180555555555556</v>
      </c>
      <c r="AC67" s="103"/>
      <c r="AD67" s="103"/>
      <c r="AE67" s="103"/>
      <c r="AF67" s="103"/>
      <c r="AG67" s="103"/>
      <c r="AH67" s="103"/>
      <c r="AI67" s="103"/>
      <c r="AJ67" s="103"/>
      <c r="AK67" s="103"/>
      <c r="AL67" s="103"/>
      <c r="AM67" s="117">
        <v>322.54313269538767</v>
      </c>
      <c r="AN67" s="118">
        <v>721.6337477045726</v>
      </c>
      <c r="AO67" s="2" t="s">
        <v>2457</v>
      </c>
    </row>
    <row r="68" spans="1:41" ht="40.5" customHeight="1">
      <c r="A68" s="1">
        <v>50</v>
      </c>
      <c r="B68" s="1" t="s">
        <v>4</v>
      </c>
      <c r="C68" s="1" t="s">
        <v>4</v>
      </c>
      <c r="D68" s="1">
        <v>4</v>
      </c>
      <c r="E68" s="1" t="s">
        <v>341</v>
      </c>
      <c r="F68" s="1" t="s">
        <v>342</v>
      </c>
      <c r="G68" s="9" t="s">
        <v>2453</v>
      </c>
      <c r="H68" s="1" t="s">
        <v>4166</v>
      </c>
      <c r="I68" s="1" t="s">
        <v>4127</v>
      </c>
      <c r="J68" s="63">
        <v>29104391</v>
      </c>
      <c r="K68" s="1" t="s">
        <v>2438</v>
      </c>
      <c r="L68" s="1">
        <v>3447000</v>
      </c>
      <c r="M68" s="1" t="s">
        <v>3735</v>
      </c>
      <c r="N68" s="1" t="s">
        <v>4181</v>
      </c>
      <c r="O68" s="1">
        <v>3428</v>
      </c>
      <c r="P68" s="64">
        <v>43073</v>
      </c>
      <c r="Q68" s="64">
        <v>46724</v>
      </c>
      <c r="R68" s="62" t="s">
        <v>2440</v>
      </c>
      <c r="S68" s="1" t="s">
        <v>2441</v>
      </c>
      <c r="T68" s="1" t="s">
        <v>2444</v>
      </c>
      <c r="U68" s="9" t="s">
        <v>2658</v>
      </c>
      <c r="V68" s="9" t="s">
        <v>343</v>
      </c>
      <c r="W68" s="9">
        <v>2549</v>
      </c>
      <c r="X68" s="60">
        <v>110485.76</v>
      </c>
      <c r="Y68" s="60">
        <v>99639.13</v>
      </c>
      <c r="Z68" s="2" t="s">
        <v>4139</v>
      </c>
      <c r="AA68" s="67">
        <v>43381</v>
      </c>
      <c r="AB68" s="2" t="s">
        <v>2458</v>
      </c>
      <c r="AC68" s="2"/>
      <c r="AD68" s="2"/>
      <c r="AE68" s="2"/>
      <c r="AF68" s="2"/>
      <c r="AG68" s="43"/>
      <c r="AH68" s="43"/>
      <c r="AI68" s="2"/>
      <c r="AJ68" s="1"/>
      <c r="AK68" s="1"/>
      <c r="AL68" s="1"/>
      <c r="AM68" s="117">
        <v>268517.6990878267</v>
      </c>
      <c r="AN68" s="118">
        <v>153369.19826272625</v>
      </c>
      <c r="AO68" s="2" t="s">
        <v>2456</v>
      </c>
    </row>
    <row r="69" spans="1:41" ht="12.75" hidden="1">
      <c r="A69" s="1">
        <v>51</v>
      </c>
      <c r="B69" s="1" t="s">
        <v>4</v>
      </c>
      <c r="C69" s="1" t="s">
        <v>4</v>
      </c>
      <c r="D69" s="1">
        <v>4</v>
      </c>
      <c r="E69" s="1" t="s">
        <v>344</v>
      </c>
      <c r="F69" s="9" t="s">
        <v>348</v>
      </c>
      <c r="G69" s="9" t="s">
        <v>2453</v>
      </c>
      <c r="H69" s="1" t="s">
        <v>4166</v>
      </c>
      <c r="I69" s="1" t="s">
        <v>4127</v>
      </c>
      <c r="J69" s="63">
        <v>29104391</v>
      </c>
      <c r="K69" s="1" t="s">
        <v>2438</v>
      </c>
      <c r="L69" s="1">
        <v>3447000</v>
      </c>
      <c r="M69" s="1" t="s">
        <v>3735</v>
      </c>
      <c r="N69" s="1" t="s">
        <v>4181</v>
      </c>
      <c r="O69" s="1">
        <v>3428</v>
      </c>
      <c r="P69" s="64">
        <v>43073</v>
      </c>
      <c r="Q69" s="64">
        <v>46724</v>
      </c>
      <c r="R69" s="62" t="s">
        <v>2440</v>
      </c>
      <c r="S69" s="1" t="s">
        <v>2441</v>
      </c>
      <c r="T69" s="1" t="s">
        <v>2443</v>
      </c>
      <c r="U69" s="9" t="s">
        <v>2659</v>
      </c>
      <c r="V69" s="9" t="s">
        <v>350</v>
      </c>
      <c r="W69" s="9">
        <v>2548</v>
      </c>
      <c r="X69" s="60">
        <v>110708.19</v>
      </c>
      <c r="Y69" s="60">
        <v>99583.3</v>
      </c>
      <c r="Z69" s="2" t="s">
        <v>3741</v>
      </c>
      <c r="AA69" s="2"/>
      <c r="AB69" s="2"/>
      <c r="AC69" s="2"/>
      <c r="AD69" s="2"/>
      <c r="AE69" s="2"/>
      <c r="AF69" s="2"/>
      <c r="AG69" s="43"/>
      <c r="AH69" s="43"/>
      <c r="AI69" s="2"/>
      <c r="AJ69" s="1"/>
      <c r="AK69" s="1"/>
      <c r="AL69" s="1"/>
      <c r="AM69" s="44">
        <f t="shared" si="1"/>
        <v>0</v>
      </c>
      <c r="AN69" s="45">
        <f t="shared" si="0"/>
        <v>0</v>
      </c>
      <c r="AO69" s="2"/>
    </row>
    <row r="70" spans="1:41" ht="35.25" customHeight="1">
      <c r="A70" s="1">
        <v>52</v>
      </c>
      <c r="B70" s="1" t="s">
        <v>4</v>
      </c>
      <c r="C70" s="1" t="s">
        <v>4</v>
      </c>
      <c r="D70" s="1">
        <v>4</v>
      </c>
      <c r="E70" s="1" t="s">
        <v>345</v>
      </c>
      <c r="F70" s="9" t="s">
        <v>348</v>
      </c>
      <c r="G70" s="9" t="s">
        <v>2453</v>
      </c>
      <c r="H70" s="1" t="s">
        <v>4166</v>
      </c>
      <c r="I70" s="1" t="s">
        <v>4127</v>
      </c>
      <c r="J70" s="63">
        <v>29104391</v>
      </c>
      <c r="K70" s="1" t="s">
        <v>2438</v>
      </c>
      <c r="L70" s="1">
        <v>3447000</v>
      </c>
      <c r="M70" s="1" t="s">
        <v>3735</v>
      </c>
      <c r="N70" s="1" t="s">
        <v>4181</v>
      </c>
      <c r="O70" s="1">
        <v>3428</v>
      </c>
      <c r="P70" s="64">
        <v>43073</v>
      </c>
      <c r="Q70" s="64">
        <v>46724</v>
      </c>
      <c r="R70" s="62" t="s">
        <v>2440</v>
      </c>
      <c r="S70" s="1" t="s">
        <v>2441</v>
      </c>
      <c r="T70" s="1" t="s">
        <v>2443</v>
      </c>
      <c r="U70" s="9" t="s">
        <v>2660</v>
      </c>
      <c r="V70" s="9" t="s">
        <v>351</v>
      </c>
      <c r="W70" s="9">
        <v>2546</v>
      </c>
      <c r="X70" s="60">
        <v>110721.48</v>
      </c>
      <c r="Y70" s="60">
        <v>99572.76</v>
      </c>
      <c r="Z70" s="2" t="s">
        <v>3753</v>
      </c>
      <c r="AA70" s="47">
        <v>43767</v>
      </c>
      <c r="AB70" s="2" t="s">
        <v>2458</v>
      </c>
      <c r="AC70" s="2">
        <v>55</v>
      </c>
      <c r="AD70" s="2">
        <v>99</v>
      </c>
      <c r="AE70" s="2">
        <v>0.17</v>
      </c>
      <c r="AF70" s="2">
        <v>24</v>
      </c>
      <c r="AG70" s="43">
        <f>AE70*AC70*AF70*0.0036</f>
        <v>0.8078400000000001</v>
      </c>
      <c r="AH70" s="43">
        <f>AE70*AD70*AF70*0.0036</f>
        <v>1.4541120000000003</v>
      </c>
      <c r="AI70" s="2">
        <v>30</v>
      </c>
      <c r="AJ70" s="1">
        <v>12</v>
      </c>
      <c r="AK70" s="1">
        <v>0.63</v>
      </c>
      <c r="AL70" s="1">
        <v>0.78</v>
      </c>
      <c r="AM70" s="117">
        <f>AG70*AI70*AJ70*AK70</f>
        <v>183.21811200000002</v>
      </c>
      <c r="AN70" s="118">
        <f>AH70*AI70*AJ70*AL70</f>
        <v>408.3146496000001</v>
      </c>
      <c r="AO70" s="2" t="s">
        <v>2457</v>
      </c>
    </row>
    <row r="71" spans="1:41" ht="55.5" customHeight="1">
      <c r="A71" s="1">
        <v>53</v>
      </c>
      <c r="B71" s="1" t="s">
        <v>4</v>
      </c>
      <c r="C71" s="1" t="s">
        <v>4</v>
      </c>
      <c r="D71" s="1">
        <v>4</v>
      </c>
      <c r="E71" s="1" t="s">
        <v>346</v>
      </c>
      <c r="F71" s="9" t="s">
        <v>348</v>
      </c>
      <c r="G71" s="9" t="s">
        <v>2454</v>
      </c>
      <c r="H71" s="1" t="s">
        <v>4166</v>
      </c>
      <c r="I71" s="1" t="s">
        <v>4127</v>
      </c>
      <c r="J71" s="63">
        <v>29104391</v>
      </c>
      <c r="K71" s="1" t="s">
        <v>2438</v>
      </c>
      <c r="L71" s="1">
        <v>3447000</v>
      </c>
      <c r="M71" s="1" t="s">
        <v>3735</v>
      </c>
      <c r="N71" s="1" t="s">
        <v>4181</v>
      </c>
      <c r="O71" s="1">
        <v>3428</v>
      </c>
      <c r="P71" s="64">
        <v>43073</v>
      </c>
      <c r="Q71" s="64">
        <v>46724</v>
      </c>
      <c r="R71" s="62" t="s">
        <v>2440</v>
      </c>
      <c r="S71" s="1" t="s">
        <v>2441</v>
      </c>
      <c r="T71" s="1" t="s">
        <v>2443</v>
      </c>
      <c r="U71" s="9" t="s">
        <v>2661</v>
      </c>
      <c r="V71" s="9" t="s">
        <v>352</v>
      </c>
      <c r="W71" s="9">
        <v>2547</v>
      </c>
      <c r="X71" s="60">
        <v>110764.37</v>
      </c>
      <c r="Y71" s="60">
        <v>99500.74</v>
      </c>
      <c r="Z71" s="2" t="s">
        <v>4033</v>
      </c>
      <c r="AA71" s="67">
        <v>43766</v>
      </c>
      <c r="AB71" s="50">
        <v>0.625</v>
      </c>
      <c r="AC71" s="103"/>
      <c r="AD71" s="103"/>
      <c r="AE71" s="103"/>
      <c r="AF71" s="103"/>
      <c r="AG71" s="103"/>
      <c r="AH71" s="103"/>
      <c r="AI71" s="103"/>
      <c r="AJ71" s="103"/>
      <c r="AK71" s="103"/>
      <c r="AL71" s="103"/>
      <c r="AM71" s="117">
        <v>8174.851170277035</v>
      </c>
      <c r="AN71" s="118">
        <v>6395.586972221951</v>
      </c>
      <c r="AO71" s="2" t="s">
        <v>2456</v>
      </c>
    </row>
    <row r="72" spans="1:41" ht="47.25" customHeight="1">
      <c r="A72" s="1">
        <v>54</v>
      </c>
      <c r="B72" s="1" t="s">
        <v>4</v>
      </c>
      <c r="C72" s="1" t="s">
        <v>4</v>
      </c>
      <c r="D72" s="1">
        <v>4</v>
      </c>
      <c r="E72" s="1" t="s">
        <v>347</v>
      </c>
      <c r="F72" s="9" t="s">
        <v>349</v>
      </c>
      <c r="G72" s="9" t="s">
        <v>2453</v>
      </c>
      <c r="H72" s="1" t="s">
        <v>4166</v>
      </c>
      <c r="I72" s="1" t="s">
        <v>4127</v>
      </c>
      <c r="J72" s="63">
        <v>29104391</v>
      </c>
      <c r="K72" s="1" t="s">
        <v>2438</v>
      </c>
      <c r="L72" s="1">
        <v>3447000</v>
      </c>
      <c r="M72" s="1" t="s">
        <v>3735</v>
      </c>
      <c r="N72" s="1" t="s">
        <v>4181</v>
      </c>
      <c r="O72" s="1">
        <v>3428</v>
      </c>
      <c r="P72" s="64">
        <v>43073</v>
      </c>
      <c r="Q72" s="64">
        <v>46724</v>
      </c>
      <c r="R72" s="62" t="s">
        <v>2440</v>
      </c>
      <c r="S72" s="1" t="s">
        <v>2442</v>
      </c>
      <c r="T72" s="1" t="s">
        <v>2443</v>
      </c>
      <c r="U72" s="9" t="s">
        <v>2662</v>
      </c>
      <c r="V72" s="9" t="s">
        <v>353</v>
      </c>
      <c r="W72" s="9">
        <v>2548</v>
      </c>
      <c r="X72" s="60">
        <v>110758.35</v>
      </c>
      <c r="Y72" s="60">
        <v>99421.5</v>
      </c>
      <c r="Z72" s="2" t="s">
        <v>3767</v>
      </c>
      <c r="AA72" s="67">
        <v>43767</v>
      </c>
      <c r="AB72" s="50">
        <v>0.49583333333333335</v>
      </c>
      <c r="AC72" s="2"/>
      <c r="AD72" s="2"/>
      <c r="AE72" s="2"/>
      <c r="AF72" s="2"/>
      <c r="AG72" s="43"/>
      <c r="AH72" s="43"/>
      <c r="AI72" s="2"/>
      <c r="AJ72" s="1"/>
      <c r="AK72" s="1"/>
      <c r="AL72" s="1"/>
      <c r="AM72" s="117">
        <f t="shared" si="1"/>
        <v>0</v>
      </c>
      <c r="AN72" s="118">
        <f t="shared" si="0"/>
        <v>0</v>
      </c>
      <c r="AO72" s="2" t="s">
        <v>2456</v>
      </c>
    </row>
    <row r="73" spans="1:41" ht="12.75" hidden="1">
      <c r="A73" s="1">
        <v>55</v>
      </c>
      <c r="B73" s="1" t="s">
        <v>4</v>
      </c>
      <c r="C73" s="1" t="s">
        <v>4</v>
      </c>
      <c r="D73" s="1">
        <v>4</v>
      </c>
      <c r="E73" s="1" t="s">
        <v>354</v>
      </c>
      <c r="F73" s="9" t="s">
        <v>349</v>
      </c>
      <c r="G73" s="9" t="s">
        <v>2453</v>
      </c>
      <c r="H73" s="1" t="s">
        <v>4166</v>
      </c>
      <c r="I73" s="1" t="s">
        <v>4127</v>
      </c>
      <c r="J73" s="63">
        <v>29104391</v>
      </c>
      <c r="K73" s="1" t="s">
        <v>2438</v>
      </c>
      <c r="L73" s="1">
        <v>3447000</v>
      </c>
      <c r="M73" s="1" t="s">
        <v>3735</v>
      </c>
      <c r="N73" s="1" t="s">
        <v>4181</v>
      </c>
      <c r="O73" s="1">
        <v>3428</v>
      </c>
      <c r="P73" s="64">
        <v>43073</v>
      </c>
      <c r="Q73" s="64">
        <v>46724</v>
      </c>
      <c r="R73" s="62" t="s">
        <v>2440</v>
      </c>
      <c r="S73" s="1" t="s">
        <v>2442</v>
      </c>
      <c r="T73" s="1" t="s">
        <v>2443</v>
      </c>
      <c r="U73" s="12" t="s">
        <v>2663</v>
      </c>
      <c r="V73" s="12" t="s">
        <v>360</v>
      </c>
      <c r="W73" s="9">
        <v>2548</v>
      </c>
      <c r="X73" s="60">
        <v>110761.64</v>
      </c>
      <c r="Y73" s="60">
        <v>99414.98</v>
      </c>
      <c r="Z73" s="2" t="s">
        <v>3741</v>
      </c>
      <c r="AA73" s="2"/>
      <c r="AB73" s="2"/>
      <c r="AC73" s="2"/>
      <c r="AD73" s="2"/>
      <c r="AE73" s="2"/>
      <c r="AF73" s="2"/>
      <c r="AG73" s="43"/>
      <c r="AH73" s="43"/>
      <c r="AI73" s="2"/>
      <c r="AJ73" s="1"/>
      <c r="AK73" s="1"/>
      <c r="AL73" s="1"/>
      <c r="AM73" s="44">
        <f t="shared" si="1"/>
        <v>0</v>
      </c>
      <c r="AN73" s="45">
        <f t="shared" si="0"/>
        <v>0</v>
      </c>
      <c r="AO73" s="2"/>
    </row>
    <row r="74" spans="1:41" ht="38.25" customHeight="1">
      <c r="A74" s="1">
        <v>56</v>
      </c>
      <c r="B74" s="1" t="s">
        <v>4</v>
      </c>
      <c r="C74" s="1" t="s">
        <v>4</v>
      </c>
      <c r="D74" s="1">
        <v>4</v>
      </c>
      <c r="E74" s="1" t="s">
        <v>355</v>
      </c>
      <c r="F74" s="9" t="s">
        <v>358</v>
      </c>
      <c r="G74" s="9" t="s">
        <v>2454</v>
      </c>
      <c r="H74" s="1" t="s">
        <v>4166</v>
      </c>
      <c r="I74" s="1" t="s">
        <v>4127</v>
      </c>
      <c r="J74" s="63">
        <v>29104391</v>
      </c>
      <c r="K74" s="1" t="s">
        <v>2438</v>
      </c>
      <c r="L74" s="1">
        <v>3447000</v>
      </c>
      <c r="M74" s="1" t="s">
        <v>3735</v>
      </c>
      <c r="N74" s="1" t="s">
        <v>4181</v>
      </c>
      <c r="O74" s="1">
        <v>3428</v>
      </c>
      <c r="P74" s="64">
        <v>43073</v>
      </c>
      <c r="Q74" s="64">
        <v>46724</v>
      </c>
      <c r="R74" s="62" t="s">
        <v>2440</v>
      </c>
      <c r="S74" s="1" t="s">
        <v>2441</v>
      </c>
      <c r="T74" s="1" t="s">
        <v>2443</v>
      </c>
      <c r="U74" s="12" t="s">
        <v>2664</v>
      </c>
      <c r="V74" s="12" t="s">
        <v>361</v>
      </c>
      <c r="W74" s="9">
        <v>2547</v>
      </c>
      <c r="X74" s="60">
        <v>110909.18</v>
      </c>
      <c r="Y74" s="60">
        <v>99241.61</v>
      </c>
      <c r="Z74" s="2" t="s">
        <v>3767</v>
      </c>
      <c r="AA74" s="67">
        <v>43766</v>
      </c>
      <c r="AB74" s="50">
        <v>0.6319444444444444</v>
      </c>
      <c r="AC74" s="103"/>
      <c r="AD74" s="103"/>
      <c r="AE74" s="103"/>
      <c r="AF74" s="103"/>
      <c r="AG74" s="103"/>
      <c r="AH74" s="103"/>
      <c r="AI74" s="103"/>
      <c r="AJ74" s="103"/>
      <c r="AK74" s="103"/>
      <c r="AL74" s="103"/>
      <c r="AM74" s="117">
        <f t="shared" si="1"/>
        <v>0</v>
      </c>
      <c r="AN74" s="118">
        <f t="shared" si="0"/>
        <v>0</v>
      </c>
      <c r="AO74" s="2" t="s">
        <v>2457</v>
      </c>
    </row>
    <row r="75" spans="1:41" ht="80.25" customHeight="1">
      <c r="A75" s="1">
        <v>57</v>
      </c>
      <c r="B75" s="1" t="s">
        <v>4</v>
      </c>
      <c r="C75" s="1" t="s">
        <v>4</v>
      </c>
      <c r="D75" s="1">
        <v>4</v>
      </c>
      <c r="E75" s="1" t="s">
        <v>356</v>
      </c>
      <c r="F75" s="9" t="s">
        <v>358</v>
      </c>
      <c r="G75" s="9" t="s">
        <v>2454</v>
      </c>
      <c r="H75" s="1" t="s">
        <v>4166</v>
      </c>
      <c r="I75" s="1" t="s">
        <v>4127</v>
      </c>
      <c r="J75" s="63">
        <v>29104391</v>
      </c>
      <c r="K75" s="1" t="s">
        <v>2438</v>
      </c>
      <c r="L75" s="1">
        <v>3447000</v>
      </c>
      <c r="M75" s="1" t="s">
        <v>3735</v>
      </c>
      <c r="N75" s="1" t="s">
        <v>4181</v>
      </c>
      <c r="O75" s="1">
        <v>3428</v>
      </c>
      <c r="P75" s="64">
        <v>43073</v>
      </c>
      <c r="Q75" s="64">
        <v>46724</v>
      </c>
      <c r="R75" s="62" t="s">
        <v>2440</v>
      </c>
      <c r="S75" s="1" t="s">
        <v>2441</v>
      </c>
      <c r="T75" s="1" t="s">
        <v>2443</v>
      </c>
      <c r="U75" s="12" t="s">
        <v>2665</v>
      </c>
      <c r="V75" s="12" t="s">
        <v>362</v>
      </c>
      <c r="W75" s="9">
        <v>2547</v>
      </c>
      <c r="X75" s="60">
        <v>110945.73</v>
      </c>
      <c r="Y75" s="60">
        <v>99206.02</v>
      </c>
      <c r="Z75" s="2" t="s">
        <v>4033</v>
      </c>
      <c r="AA75" s="67">
        <v>43766</v>
      </c>
      <c r="AB75" s="50">
        <v>0.638888888888889</v>
      </c>
      <c r="AC75" s="103"/>
      <c r="AD75" s="103"/>
      <c r="AE75" s="103"/>
      <c r="AF75" s="103"/>
      <c r="AG75" s="103"/>
      <c r="AH75" s="103"/>
      <c r="AI75" s="103"/>
      <c r="AJ75" s="103"/>
      <c r="AK75" s="103"/>
      <c r="AL75" s="103"/>
      <c r="AM75" s="117">
        <v>24982.124370092646</v>
      </c>
      <c r="AN75" s="118">
        <v>10279.262470210233</v>
      </c>
      <c r="AO75" s="2" t="s">
        <v>2456</v>
      </c>
    </row>
    <row r="76" spans="1:41" ht="40.5" customHeight="1">
      <c r="A76" s="1">
        <v>58</v>
      </c>
      <c r="B76" s="1" t="s">
        <v>4</v>
      </c>
      <c r="C76" s="1" t="s">
        <v>4</v>
      </c>
      <c r="D76" s="1">
        <v>4</v>
      </c>
      <c r="E76" s="1" t="s">
        <v>357</v>
      </c>
      <c r="F76" s="9" t="s">
        <v>359</v>
      </c>
      <c r="G76" s="9" t="s">
        <v>2454</v>
      </c>
      <c r="H76" s="1" t="s">
        <v>4166</v>
      </c>
      <c r="I76" s="1" t="s">
        <v>4127</v>
      </c>
      <c r="J76" s="63">
        <v>29104391</v>
      </c>
      <c r="K76" s="1" t="s">
        <v>2438</v>
      </c>
      <c r="L76" s="1">
        <v>3447000</v>
      </c>
      <c r="M76" s="1" t="s">
        <v>3735</v>
      </c>
      <c r="N76" s="1" t="s">
        <v>4181</v>
      </c>
      <c r="O76" s="1">
        <v>3428</v>
      </c>
      <c r="P76" s="64">
        <v>43073</v>
      </c>
      <c r="Q76" s="64">
        <v>46724</v>
      </c>
      <c r="R76" s="62" t="s">
        <v>2440</v>
      </c>
      <c r="S76" s="1" t="s">
        <v>2442</v>
      </c>
      <c r="T76" s="1" t="s">
        <v>2443</v>
      </c>
      <c r="U76" s="12" t="s">
        <v>2666</v>
      </c>
      <c r="V76" s="12" t="s">
        <v>363</v>
      </c>
      <c r="W76" s="9">
        <v>2547</v>
      </c>
      <c r="X76" s="60">
        <v>110951.6</v>
      </c>
      <c r="Y76" s="60">
        <v>99156.5</v>
      </c>
      <c r="Z76" s="2" t="s">
        <v>3744</v>
      </c>
      <c r="AA76" s="67">
        <v>43767</v>
      </c>
      <c r="AB76" s="50" t="s">
        <v>2479</v>
      </c>
      <c r="AC76" s="2">
        <v>82</v>
      </c>
      <c r="AD76" s="2">
        <v>101</v>
      </c>
      <c r="AE76" s="2">
        <v>0.31</v>
      </c>
      <c r="AF76" s="2">
        <v>24</v>
      </c>
      <c r="AG76" s="102">
        <f>AE76*AC76*AF76*0.0036</f>
        <v>2.1962879999999996</v>
      </c>
      <c r="AH76" s="102">
        <f>AE76*AD76*AF76*0.0036</f>
        <v>2.7051839999999996</v>
      </c>
      <c r="AI76" s="2">
        <v>30</v>
      </c>
      <c r="AJ76" s="1">
        <v>12</v>
      </c>
      <c r="AK76" s="1">
        <v>0.58</v>
      </c>
      <c r="AL76" s="1">
        <v>0.53</v>
      </c>
      <c r="AM76" s="117">
        <f>AG76*AI76*AJ76*AK76</f>
        <v>458.58493439999984</v>
      </c>
      <c r="AN76" s="118">
        <f>AH76*AI76*AJ76*AL76</f>
        <v>516.1491071999999</v>
      </c>
      <c r="AO76" s="2" t="s">
        <v>2456</v>
      </c>
    </row>
    <row r="77" spans="1:41" ht="51">
      <c r="A77" s="1">
        <v>59</v>
      </c>
      <c r="B77" s="1" t="s">
        <v>4</v>
      </c>
      <c r="C77" s="1" t="s">
        <v>4</v>
      </c>
      <c r="D77" s="1">
        <v>4</v>
      </c>
      <c r="E77" s="1" t="s">
        <v>364</v>
      </c>
      <c r="F77" s="9" t="s">
        <v>370</v>
      </c>
      <c r="G77" s="9" t="s">
        <v>2454</v>
      </c>
      <c r="H77" s="1" t="s">
        <v>4166</v>
      </c>
      <c r="I77" s="1" t="s">
        <v>4127</v>
      </c>
      <c r="J77" s="63">
        <v>29104391</v>
      </c>
      <c r="K77" s="1" t="s">
        <v>2438</v>
      </c>
      <c r="L77" s="1">
        <v>3447000</v>
      </c>
      <c r="M77" s="1" t="s">
        <v>3735</v>
      </c>
      <c r="N77" s="1" t="s">
        <v>4181</v>
      </c>
      <c r="O77" s="1">
        <v>3428</v>
      </c>
      <c r="P77" s="64">
        <v>43073</v>
      </c>
      <c r="Q77" s="64">
        <v>46724</v>
      </c>
      <c r="R77" s="62" t="s">
        <v>2440</v>
      </c>
      <c r="S77" s="1" t="s">
        <v>2441</v>
      </c>
      <c r="T77" s="9" t="s">
        <v>2446</v>
      </c>
      <c r="U77" s="12" t="s">
        <v>2667</v>
      </c>
      <c r="V77" s="12" t="s">
        <v>375</v>
      </c>
      <c r="W77" s="9">
        <v>2547</v>
      </c>
      <c r="X77" s="60">
        <v>111084.65</v>
      </c>
      <c r="Y77" s="60">
        <v>99177.38</v>
      </c>
      <c r="Z77" s="2" t="s">
        <v>4033</v>
      </c>
      <c r="AA77" s="67">
        <v>43766</v>
      </c>
      <c r="AB77" s="50">
        <v>0.6458333333333334</v>
      </c>
      <c r="AC77" s="103"/>
      <c r="AD77" s="103"/>
      <c r="AE77" s="103"/>
      <c r="AF77" s="103"/>
      <c r="AG77" s="103"/>
      <c r="AH77" s="103"/>
      <c r="AI77" s="103"/>
      <c r="AJ77" s="103"/>
      <c r="AK77" s="103"/>
      <c r="AL77" s="103"/>
      <c r="AM77" s="117">
        <v>5243.036784636078</v>
      </c>
      <c r="AN77" s="118">
        <v>3665.766395626443</v>
      </c>
      <c r="AO77" s="2" t="s">
        <v>2456</v>
      </c>
    </row>
    <row r="78" spans="1:41" ht="25.5">
      <c r="A78" s="1">
        <v>60</v>
      </c>
      <c r="B78" s="1" t="s">
        <v>4</v>
      </c>
      <c r="C78" s="1" t="s">
        <v>4</v>
      </c>
      <c r="D78" s="1">
        <v>4</v>
      </c>
      <c r="E78" s="1" t="s">
        <v>365</v>
      </c>
      <c r="F78" s="9" t="s">
        <v>371</v>
      </c>
      <c r="G78" s="9" t="s">
        <v>2454</v>
      </c>
      <c r="H78" s="1" t="s">
        <v>4166</v>
      </c>
      <c r="I78" s="1" t="s">
        <v>4127</v>
      </c>
      <c r="J78" s="63">
        <v>29104391</v>
      </c>
      <c r="K78" s="1" t="s">
        <v>2438</v>
      </c>
      <c r="L78" s="1">
        <v>3447000</v>
      </c>
      <c r="M78" s="1" t="s">
        <v>3735</v>
      </c>
      <c r="N78" s="1" t="s">
        <v>4181</v>
      </c>
      <c r="O78" s="1">
        <v>3428</v>
      </c>
      <c r="P78" s="64">
        <v>43073</v>
      </c>
      <c r="Q78" s="64">
        <v>46724</v>
      </c>
      <c r="R78" s="62" t="s">
        <v>2440</v>
      </c>
      <c r="S78" s="1" t="s">
        <v>2441</v>
      </c>
      <c r="T78" s="1" t="s">
        <v>2443</v>
      </c>
      <c r="U78" s="12" t="s">
        <v>2668</v>
      </c>
      <c r="V78" s="12" t="s">
        <v>376</v>
      </c>
      <c r="W78" s="9">
        <v>2548</v>
      </c>
      <c r="X78" s="60">
        <v>111120.48</v>
      </c>
      <c r="Y78" s="60">
        <v>99145.75</v>
      </c>
      <c r="Z78" s="2" t="s">
        <v>3744</v>
      </c>
      <c r="AA78" s="67">
        <v>43768</v>
      </c>
      <c r="AB78" s="2" t="s">
        <v>3768</v>
      </c>
      <c r="AC78" s="2">
        <v>131</v>
      </c>
      <c r="AD78" s="2">
        <v>100</v>
      </c>
      <c r="AE78" s="2">
        <v>0.362</v>
      </c>
      <c r="AF78" s="2">
        <v>24</v>
      </c>
      <c r="AG78" s="43">
        <f>AE78*AC78*AF78*0.0036</f>
        <v>4.0972608</v>
      </c>
      <c r="AH78" s="43">
        <f>AE78*AD78*AF78*0.0036</f>
        <v>3.12768</v>
      </c>
      <c r="AI78" s="2">
        <v>30</v>
      </c>
      <c r="AJ78" s="1">
        <v>12</v>
      </c>
      <c r="AK78" s="1">
        <v>0.61</v>
      </c>
      <c r="AL78" s="1">
        <v>0.62</v>
      </c>
      <c r="AM78" s="117">
        <f t="shared" si="1"/>
        <v>899.75847168</v>
      </c>
      <c r="AN78" s="118">
        <f t="shared" si="0"/>
        <v>698.098176</v>
      </c>
      <c r="AO78" s="2" t="s">
        <v>2456</v>
      </c>
    </row>
    <row r="79" spans="1:41" ht="25.5" hidden="1">
      <c r="A79" s="1">
        <v>61</v>
      </c>
      <c r="B79" s="1" t="s">
        <v>4</v>
      </c>
      <c r="C79" s="1" t="s">
        <v>4</v>
      </c>
      <c r="D79" s="1">
        <v>4</v>
      </c>
      <c r="E79" s="1" t="s">
        <v>366</v>
      </c>
      <c r="F79" s="9" t="s">
        <v>372</v>
      </c>
      <c r="G79" s="9" t="s">
        <v>2453</v>
      </c>
      <c r="H79" s="1" t="s">
        <v>4166</v>
      </c>
      <c r="I79" s="1" t="s">
        <v>4127</v>
      </c>
      <c r="J79" s="63">
        <v>29104391</v>
      </c>
      <c r="K79" s="1" t="s">
        <v>2438</v>
      </c>
      <c r="L79" s="1">
        <v>3447000</v>
      </c>
      <c r="M79" s="1" t="s">
        <v>3735</v>
      </c>
      <c r="N79" s="1" t="s">
        <v>4181</v>
      </c>
      <c r="O79" s="1">
        <v>3428</v>
      </c>
      <c r="P79" s="64">
        <v>43073</v>
      </c>
      <c r="Q79" s="64">
        <v>46724</v>
      </c>
      <c r="R79" s="62" t="s">
        <v>2440</v>
      </c>
      <c r="S79" s="1" t="s">
        <v>2442</v>
      </c>
      <c r="T79" s="1" t="s">
        <v>2443</v>
      </c>
      <c r="U79" s="12" t="s">
        <v>377</v>
      </c>
      <c r="V79" s="12" t="s">
        <v>378</v>
      </c>
      <c r="W79" s="9">
        <v>2548</v>
      </c>
      <c r="X79" s="60">
        <v>111111.02</v>
      </c>
      <c r="Y79" s="60">
        <v>99095.51</v>
      </c>
      <c r="Z79" s="2" t="s">
        <v>3741</v>
      </c>
      <c r="AA79" s="2"/>
      <c r="AB79" s="2"/>
      <c r="AC79" s="2"/>
      <c r="AD79" s="2"/>
      <c r="AE79" s="2"/>
      <c r="AF79" s="2"/>
      <c r="AG79" s="43"/>
      <c r="AH79" s="43"/>
      <c r="AI79" s="2"/>
      <c r="AJ79" s="1"/>
      <c r="AK79" s="1"/>
      <c r="AL79" s="1"/>
      <c r="AM79" s="44">
        <f t="shared" si="1"/>
        <v>0</v>
      </c>
      <c r="AN79" s="45">
        <f t="shared" si="0"/>
        <v>0</v>
      </c>
      <c r="AO79" s="2"/>
    </row>
    <row r="80" spans="1:41" ht="25.5" hidden="1">
      <c r="A80" s="1">
        <v>62</v>
      </c>
      <c r="B80" s="1" t="s">
        <v>4</v>
      </c>
      <c r="C80" s="1" t="s">
        <v>4</v>
      </c>
      <c r="D80" s="1">
        <v>4</v>
      </c>
      <c r="E80" s="1" t="s">
        <v>367</v>
      </c>
      <c r="F80" s="9" t="s">
        <v>2316</v>
      </c>
      <c r="G80" s="9" t="s">
        <v>2454</v>
      </c>
      <c r="H80" s="1" t="s">
        <v>4166</v>
      </c>
      <c r="I80" s="1" t="s">
        <v>4127</v>
      </c>
      <c r="J80" s="63">
        <v>29104391</v>
      </c>
      <c r="K80" s="1" t="s">
        <v>2438</v>
      </c>
      <c r="L80" s="1">
        <v>3447000</v>
      </c>
      <c r="M80" s="1" t="s">
        <v>3735</v>
      </c>
      <c r="N80" s="1" t="s">
        <v>4181</v>
      </c>
      <c r="O80" s="1">
        <v>3428</v>
      </c>
      <c r="P80" s="64">
        <v>43073</v>
      </c>
      <c r="Q80" s="64">
        <v>46724</v>
      </c>
      <c r="R80" s="62" t="s">
        <v>2440</v>
      </c>
      <c r="S80" s="9" t="s">
        <v>2442</v>
      </c>
      <c r="T80" s="1" t="s">
        <v>2443</v>
      </c>
      <c r="U80" s="12" t="s">
        <v>2669</v>
      </c>
      <c r="V80" s="12" t="s">
        <v>379</v>
      </c>
      <c r="W80" s="2">
        <v>2547</v>
      </c>
      <c r="X80" s="2">
        <v>111410.593</v>
      </c>
      <c r="Y80" s="2">
        <v>98844.48</v>
      </c>
      <c r="Z80" s="2" t="s">
        <v>3741</v>
      </c>
      <c r="AA80" s="2"/>
      <c r="AB80" s="2"/>
      <c r="AC80" s="2"/>
      <c r="AD80" s="2"/>
      <c r="AE80" s="2"/>
      <c r="AF80" s="2"/>
      <c r="AG80" s="43"/>
      <c r="AH80" s="43"/>
      <c r="AI80" s="2"/>
      <c r="AJ80" s="1"/>
      <c r="AK80" s="1"/>
      <c r="AL80" s="1"/>
      <c r="AM80" s="44">
        <f t="shared" si="1"/>
        <v>0</v>
      </c>
      <c r="AN80" s="45">
        <f t="shared" si="0"/>
        <v>0</v>
      </c>
      <c r="AO80" s="2"/>
    </row>
    <row r="81" spans="1:41" ht="12.75" hidden="1">
      <c r="A81" s="1">
        <v>63</v>
      </c>
      <c r="B81" s="1" t="s">
        <v>4</v>
      </c>
      <c r="C81" s="1" t="s">
        <v>4</v>
      </c>
      <c r="D81" s="1">
        <v>4</v>
      </c>
      <c r="E81" s="1" t="s">
        <v>368</v>
      </c>
      <c r="F81" s="9" t="s">
        <v>373</v>
      </c>
      <c r="G81" s="9" t="s">
        <v>2453</v>
      </c>
      <c r="H81" s="1" t="s">
        <v>4166</v>
      </c>
      <c r="I81" s="1" t="s">
        <v>4127</v>
      </c>
      <c r="J81" s="63">
        <v>29104391</v>
      </c>
      <c r="K81" s="1" t="s">
        <v>2438</v>
      </c>
      <c r="L81" s="1">
        <v>3447000</v>
      </c>
      <c r="M81" s="1" t="s">
        <v>3735</v>
      </c>
      <c r="N81" s="1" t="s">
        <v>4181</v>
      </c>
      <c r="O81" s="1">
        <v>3428</v>
      </c>
      <c r="P81" s="64">
        <v>43073</v>
      </c>
      <c r="Q81" s="64">
        <v>46724</v>
      </c>
      <c r="R81" s="62" t="s">
        <v>2440</v>
      </c>
      <c r="S81" s="1" t="s">
        <v>2442</v>
      </c>
      <c r="T81" s="1" t="s">
        <v>2443</v>
      </c>
      <c r="U81" s="12" t="s">
        <v>2670</v>
      </c>
      <c r="V81" s="12" t="s">
        <v>380</v>
      </c>
      <c r="W81" s="9">
        <v>2552</v>
      </c>
      <c r="X81" s="60">
        <v>111557.39</v>
      </c>
      <c r="Y81" s="60">
        <v>98794.53</v>
      </c>
      <c r="Z81" s="2" t="s">
        <v>3741</v>
      </c>
      <c r="AA81" s="2"/>
      <c r="AB81" s="2"/>
      <c r="AC81" s="2"/>
      <c r="AD81" s="2"/>
      <c r="AE81" s="2"/>
      <c r="AF81" s="2"/>
      <c r="AG81" s="43"/>
      <c r="AH81" s="43"/>
      <c r="AI81" s="2"/>
      <c r="AJ81" s="1"/>
      <c r="AK81" s="1"/>
      <c r="AL81" s="1"/>
      <c r="AM81" s="44">
        <f t="shared" si="1"/>
        <v>0</v>
      </c>
      <c r="AN81" s="45">
        <f t="shared" si="0"/>
        <v>0</v>
      </c>
      <c r="AO81" s="2"/>
    </row>
    <row r="82" spans="1:41" ht="51">
      <c r="A82" s="1">
        <v>64</v>
      </c>
      <c r="B82" s="1" t="s">
        <v>4</v>
      </c>
      <c r="C82" s="1" t="s">
        <v>4</v>
      </c>
      <c r="D82" s="1">
        <v>4</v>
      </c>
      <c r="E82" s="1" t="s">
        <v>422</v>
      </c>
      <c r="F82" s="9" t="s">
        <v>374</v>
      </c>
      <c r="G82" s="9" t="s">
        <v>2453</v>
      </c>
      <c r="H82" s="1" t="s">
        <v>4166</v>
      </c>
      <c r="I82" s="1" t="s">
        <v>4127</v>
      </c>
      <c r="J82" s="63">
        <v>29104391</v>
      </c>
      <c r="K82" s="1" t="s">
        <v>2438</v>
      </c>
      <c r="L82" s="1">
        <v>3447000</v>
      </c>
      <c r="M82" s="1" t="s">
        <v>3735</v>
      </c>
      <c r="N82" s="1" t="s">
        <v>4181</v>
      </c>
      <c r="O82" s="1">
        <v>3428</v>
      </c>
      <c r="P82" s="64">
        <v>43073</v>
      </c>
      <c r="Q82" s="64">
        <v>46724</v>
      </c>
      <c r="R82" s="62" t="s">
        <v>2440</v>
      </c>
      <c r="S82" s="1" t="s">
        <v>2442</v>
      </c>
      <c r="T82" s="1" t="s">
        <v>2443</v>
      </c>
      <c r="U82" s="12" t="s">
        <v>2026</v>
      </c>
      <c r="V82" s="12" t="s">
        <v>2671</v>
      </c>
      <c r="W82" s="9">
        <v>2552</v>
      </c>
      <c r="X82" s="60">
        <v>111605.62</v>
      </c>
      <c r="Y82" s="60">
        <v>98797.84</v>
      </c>
      <c r="Z82" s="2" t="s">
        <v>4033</v>
      </c>
      <c r="AA82" s="67">
        <v>43768</v>
      </c>
      <c r="AB82" s="50">
        <v>0.4770833333333333</v>
      </c>
      <c r="AC82" s="103"/>
      <c r="AD82" s="103"/>
      <c r="AE82" s="103"/>
      <c r="AF82" s="103"/>
      <c r="AG82" s="103"/>
      <c r="AH82" s="103"/>
      <c r="AI82" s="103"/>
      <c r="AJ82" s="103"/>
      <c r="AK82" s="103"/>
      <c r="AL82" s="103"/>
      <c r="AM82" s="117">
        <v>34.50037395716254</v>
      </c>
      <c r="AN82" s="118">
        <v>40.91057975948808</v>
      </c>
      <c r="AO82" s="2" t="s">
        <v>2456</v>
      </c>
    </row>
    <row r="83" spans="1:41" ht="12.75" hidden="1">
      <c r="A83" s="1">
        <v>65</v>
      </c>
      <c r="B83" s="1" t="s">
        <v>4</v>
      </c>
      <c r="C83" s="1" t="s">
        <v>4</v>
      </c>
      <c r="D83" s="1">
        <v>4</v>
      </c>
      <c r="E83" s="1" t="s">
        <v>369</v>
      </c>
      <c r="F83" s="9" t="s">
        <v>374</v>
      </c>
      <c r="G83" s="9" t="s">
        <v>2454</v>
      </c>
      <c r="H83" s="1" t="s">
        <v>4166</v>
      </c>
      <c r="I83" s="1" t="s">
        <v>4127</v>
      </c>
      <c r="J83" s="63">
        <v>29104391</v>
      </c>
      <c r="K83" s="1" t="s">
        <v>2438</v>
      </c>
      <c r="L83" s="1">
        <v>3447000</v>
      </c>
      <c r="M83" s="1" t="s">
        <v>3735</v>
      </c>
      <c r="N83" s="1" t="s">
        <v>4181</v>
      </c>
      <c r="O83" s="1">
        <v>3428</v>
      </c>
      <c r="P83" s="64">
        <v>43073</v>
      </c>
      <c r="Q83" s="64">
        <v>46724</v>
      </c>
      <c r="R83" s="62" t="s">
        <v>2440</v>
      </c>
      <c r="S83" s="1" t="s">
        <v>2442</v>
      </c>
      <c r="T83" s="1" t="s">
        <v>2443</v>
      </c>
      <c r="U83" s="12" t="s">
        <v>2672</v>
      </c>
      <c r="V83" s="12" t="s">
        <v>381</v>
      </c>
      <c r="W83" s="9">
        <v>2552</v>
      </c>
      <c r="X83" s="60">
        <v>111609.45</v>
      </c>
      <c r="Y83" s="60">
        <v>98798.51</v>
      </c>
      <c r="Z83" s="2" t="s">
        <v>3741</v>
      </c>
      <c r="AA83" s="2"/>
      <c r="AB83" s="2"/>
      <c r="AC83" s="2"/>
      <c r="AD83" s="2"/>
      <c r="AE83" s="2"/>
      <c r="AF83" s="2"/>
      <c r="AG83" s="43"/>
      <c r="AH83" s="43"/>
      <c r="AI83" s="2"/>
      <c r="AJ83" s="1"/>
      <c r="AK83" s="1"/>
      <c r="AL83" s="1"/>
      <c r="AM83" s="44">
        <f t="shared" si="1"/>
        <v>0</v>
      </c>
      <c r="AN83" s="45">
        <f t="shared" si="0"/>
        <v>0</v>
      </c>
      <c r="AO83" s="2"/>
    </row>
    <row r="84" spans="1:41" ht="12.75" hidden="1">
      <c r="A84" s="1">
        <v>66</v>
      </c>
      <c r="B84" s="1" t="s">
        <v>4</v>
      </c>
      <c r="C84" s="1" t="s">
        <v>4</v>
      </c>
      <c r="D84" s="1">
        <v>4</v>
      </c>
      <c r="E84" s="1" t="s">
        <v>384</v>
      </c>
      <c r="F84" s="9" t="s">
        <v>2027</v>
      </c>
      <c r="G84" s="9" t="s">
        <v>2453</v>
      </c>
      <c r="H84" s="1" t="s">
        <v>4166</v>
      </c>
      <c r="I84" s="1" t="s">
        <v>4127</v>
      </c>
      <c r="J84" s="63">
        <v>29104391</v>
      </c>
      <c r="K84" s="1" t="s">
        <v>2438</v>
      </c>
      <c r="L84" s="1">
        <v>3447000</v>
      </c>
      <c r="M84" s="1" t="s">
        <v>3735</v>
      </c>
      <c r="N84" s="1" t="s">
        <v>4181</v>
      </c>
      <c r="O84" s="1">
        <v>3428</v>
      </c>
      <c r="P84" s="64">
        <v>43073</v>
      </c>
      <c r="Q84" s="64">
        <v>46724</v>
      </c>
      <c r="R84" s="62" t="s">
        <v>2440</v>
      </c>
      <c r="S84" s="1" t="s">
        <v>2442</v>
      </c>
      <c r="T84" s="1" t="s">
        <v>2443</v>
      </c>
      <c r="U84" s="12" t="s">
        <v>2673</v>
      </c>
      <c r="V84" s="12" t="s">
        <v>389</v>
      </c>
      <c r="W84" s="9">
        <v>2548</v>
      </c>
      <c r="X84" s="60">
        <v>111765.45</v>
      </c>
      <c r="Y84" s="60">
        <v>98821.72</v>
      </c>
      <c r="Z84" s="2" t="s">
        <v>3741</v>
      </c>
      <c r="AA84" s="2"/>
      <c r="AB84" s="2"/>
      <c r="AC84" s="2"/>
      <c r="AD84" s="2"/>
      <c r="AE84" s="2"/>
      <c r="AF84" s="2"/>
      <c r="AG84" s="43"/>
      <c r="AH84" s="43"/>
      <c r="AI84" s="2"/>
      <c r="AJ84" s="1"/>
      <c r="AK84" s="1"/>
      <c r="AL84" s="1"/>
      <c r="AM84" s="44">
        <f t="shared" si="1"/>
        <v>0</v>
      </c>
      <c r="AN84" s="45">
        <f t="shared" si="0"/>
        <v>0</v>
      </c>
      <c r="AO84" s="2"/>
    </row>
    <row r="85" spans="1:41" ht="73.5" customHeight="1">
      <c r="A85" s="1">
        <v>67</v>
      </c>
      <c r="B85" s="1" t="s">
        <v>4</v>
      </c>
      <c r="C85" s="1" t="s">
        <v>4</v>
      </c>
      <c r="D85" s="1">
        <v>4</v>
      </c>
      <c r="E85" s="1" t="s">
        <v>385</v>
      </c>
      <c r="F85" s="9" t="s">
        <v>2028</v>
      </c>
      <c r="G85" s="9" t="s">
        <v>2453</v>
      </c>
      <c r="H85" s="1" t="s">
        <v>4166</v>
      </c>
      <c r="I85" s="1" t="s">
        <v>4127</v>
      </c>
      <c r="J85" s="63">
        <v>29104391</v>
      </c>
      <c r="K85" s="1" t="s">
        <v>2438</v>
      </c>
      <c r="L85" s="1">
        <v>3447000</v>
      </c>
      <c r="M85" s="1" t="s">
        <v>3735</v>
      </c>
      <c r="N85" s="1" t="s">
        <v>4181</v>
      </c>
      <c r="O85" s="1">
        <v>3428</v>
      </c>
      <c r="P85" s="64">
        <v>43073</v>
      </c>
      <c r="Q85" s="64">
        <v>46724</v>
      </c>
      <c r="R85" s="62" t="s">
        <v>2440</v>
      </c>
      <c r="S85" s="1" t="s">
        <v>2442</v>
      </c>
      <c r="T85" s="1" t="s">
        <v>2443</v>
      </c>
      <c r="U85" s="12" t="s">
        <v>2674</v>
      </c>
      <c r="V85" s="12" t="s">
        <v>390</v>
      </c>
      <c r="W85" s="9">
        <v>2548</v>
      </c>
      <c r="X85" s="60">
        <v>111822.95</v>
      </c>
      <c r="Y85" s="60">
        <v>98816.94</v>
      </c>
      <c r="Z85" s="2" t="s">
        <v>4033</v>
      </c>
      <c r="AA85" s="67">
        <v>43768</v>
      </c>
      <c r="AB85" s="50">
        <v>0.4770833333333333</v>
      </c>
      <c r="AC85" s="2"/>
      <c r="AD85" s="2"/>
      <c r="AE85" s="2"/>
      <c r="AF85" s="2"/>
      <c r="AG85" s="43"/>
      <c r="AH85" s="43"/>
      <c r="AI85" s="2"/>
      <c r="AJ85" s="1"/>
      <c r="AK85" s="1"/>
      <c r="AL85" s="1"/>
      <c r="AM85" s="117">
        <v>542.8545765239708</v>
      </c>
      <c r="AN85" s="118">
        <v>317.26078182723796</v>
      </c>
      <c r="AO85" s="2" t="s">
        <v>2457</v>
      </c>
    </row>
    <row r="86" spans="1:41" ht="12.75" hidden="1">
      <c r="A86" s="1">
        <v>68</v>
      </c>
      <c r="B86" s="1" t="s">
        <v>4</v>
      </c>
      <c r="C86" s="1" t="s">
        <v>4</v>
      </c>
      <c r="D86" s="1">
        <v>4</v>
      </c>
      <c r="E86" s="1" t="s">
        <v>386</v>
      </c>
      <c r="F86" s="9" t="s">
        <v>382</v>
      </c>
      <c r="G86" s="9" t="s">
        <v>2453</v>
      </c>
      <c r="H86" s="1" t="s">
        <v>4166</v>
      </c>
      <c r="I86" s="1" t="s">
        <v>4127</v>
      </c>
      <c r="J86" s="63">
        <v>29104391</v>
      </c>
      <c r="K86" s="1" t="s">
        <v>2438</v>
      </c>
      <c r="L86" s="1">
        <v>3447000</v>
      </c>
      <c r="M86" s="1" t="s">
        <v>3735</v>
      </c>
      <c r="N86" s="1" t="s">
        <v>4181</v>
      </c>
      <c r="O86" s="1">
        <v>3428</v>
      </c>
      <c r="P86" s="64">
        <v>43073</v>
      </c>
      <c r="Q86" s="64">
        <v>46724</v>
      </c>
      <c r="R86" s="62" t="s">
        <v>2440</v>
      </c>
      <c r="S86" s="1" t="s">
        <v>2442</v>
      </c>
      <c r="T86" s="1" t="s">
        <v>2443</v>
      </c>
      <c r="U86" s="12" t="s">
        <v>2675</v>
      </c>
      <c r="V86" s="12" t="s">
        <v>391</v>
      </c>
      <c r="W86" s="9">
        <v>2550</v>
      </c>
      <c r="X86" s="60">
        <v>112004.56</v>
      </c>
      <c r="Y86" s="60">
        <v>98836.91</v>
      </c>
      <c r="Z86" s="2" t="s">
        <v>3741</v>
      </c>
      <c r="AA86" s="2"/>
      <c r="AB86" s="2"/>
      <c r="AC86" s="2"/>
      <c r="AD86" s="2"/>
      <c r="AE86" s="2"/>
      <c r="AF86" s="2"/>
      <c r="AG86" s="43"/>
      <c r="AH86" s="43"/>
      <c r="AI86" s="2"/>
      <c r="AJ86" s="1"/>
      <c r="AK86" s="1"/>
      <c r="AL86" s="1"/>
      <c r="AM86" s="44">
        <f>AG86*AI86*AJ86*AK86</f>
        <v>0</v>
      </c>
      <c r="AN86" s="45">
        <f>AH86*AI86*AJ86*AL86</f>
        <v>0</v>
      </c>
      <c r="AO86" s="2"/>
    </row>
    <row r="87" spans="1:41" ht="25.5" hidden="1">
      <c r="A87" s="1">
        <v>69</v>
      </c>
      <c r="B87" s="1" t="s">
        <v>4</v>
      </c>
      <c r="C87" s="1" t="s">
        <v>4</v>
      </c>
      <c r="D87" s="1">
        <v>4</v>
      </c>
      <c r="E87" s="1" t="s">
        <v>387</v>
      </c>
      <c r="F87" s="9" t="s">
        <v>2317</v>
      </c>
      <c r="G87" s="9" t="s">
        <v>2454</v>
      </c>
      <c r="H87" s="1" t="s">
        <v>4166</v>
      </c>
      <c r="I87" s="1" t="s">
        <v>4127</v>
      </c>
      <c r="J87" s="63">
        <v>29104391</v>
      </c>
      <c r="K87" s="1" t="s">
        <v>2438</v>
      </c>
      <c r="L87" s="1">
        <v>3447000</v>
      </c>
      <c r="M87" s="1" t="s">
        <v>3735</v>
      </c>
      <c r="N87" s="1" t="s">
        <v>4181</v>
      </c>
      <c r="O87" s="1">
        <v>3428</v>
      </c>
      <c r="P87" s="64">
        <v>43073</v>
      </c>
      <c r="Q87" s="64">
        <v>46724</v>
      </c>
      <c r="R87" s="62" t="s">
        <v>2440</v>
      </c>
      <c r="S87" s="9" t="s">
        <v>2441</v>
      </c>
      <c r="T87" s="1" t="s">
        <v>2443</v>
      </c>
      <c r="U87" s="12" t="s">
        <v>2676</v>
      </c>
      <c r="V87" s="12" t="s">
        <v>392</v>
      </c>
      <c r="W87" s="9">
        <v>2548</v>
      </c>
      <c r="X87" s="2">
        <v>112127.504</v>
      </c>
      <c r="Y87" s="2">
        <v>98852.439</v>
      </c>
      <c r="Z87" s="2" t="s">
        <v>3741</v>
      </c>
      <c r="AA87" s="2"/>
      <c r="AB87" s="2"/>
      <c r="AC87" s="2"/>
      <c r="AD87" s="2"/>
      <c r="AE87" s="2"/>
      <c r="AF87" s="2"/>
      <c r="AG87" s="43"/>
      <c r="AH87" s="43"/>
      <c r="AI87" s="2"/>
      <c r="AJ87" s="1"/>
      <c r="AK87" s="1"/>
      <c r="AL87" s="1"/>
      <c r="AM87" s="44">
        <f>AG87*AI87*AJ87*AK87</f>
        <v>0</v>
      </c>
      <c r="AN87" s="45">
        <f>AH87*AI87*AJ87*AL87</f>
        <v>0</v>
      </c>
      <c r="AO87" s="2"/>
    </row>
    <row r="88" spans="1:41" ht="12.75" hidden="1">
      <c r="A88" s="1">
        <v>70</v>
      </c>
      <c r="B88" s="1" t="s">
        <v>4</v>
      </c>
      <c r="C88" s="1" t="s">
        <v>4</v>
      </c>
      <c r="D88" s="1">
        <v>4</v>
      </c>
      <c r="E88" s="1" t="s">
        <v>388</v>
      </c>
      <c r="F88" s="9" t="s">
        <v>383</v>
      </c>
      <c r="G88" s="9" t="s">
        <v>2453</v>
      </c>
      <c r="H88" s="1" t="s">
        <v>4166</v>
      </c>
      <c r="I88" s="1" t="s">
        <v>4127</v>
      </c>
      <c r="J88" s="63">
        <v>29104391</v>
      </c>
      <c r="K88" s="1" t="s">
        <v>2438</v>
      </c>
      <c r="L88" s="1">
        <v>3447000</v>
      </c>
      <c r="M88" s="1" t="s">
        <v>3735</v>
      </c>
      <c r="N88" s="1" t="s">
        <v>4181</v>
      </c>
      <c r="O88" s="1">
        <v>3428</v>
      </c>
      <c r="P88" s="64">
        <v>43073</v>
      </c>
      <c r="Q88" s="64">
        <v>46724</v>
      </c>
      <c r="R88" s="62" t="s">
        <v>2440</v>
      </c>
      <c r="S88" s="1" t="s">
        <v>2442</v>
      </c>
      <c r="T88" s="1" t="s">
        <v>2443</v>
      </c>
      <c r="U88" s="12" t="s">
        <v>2677</v>
      </c>
      <c r="V88" s="12" t="s">
        <v>393</v>
      </c>
      <c r="W88" s="9">
        <v>2551</v>
      </c>
      <c r="X88" s="60">
        <v>112194.52</v>
      </c>
      <c r="Y88" s="60">
        <v>98712.84</v>
      </c>
      <c r="Z88" s="2" t="s">
        <v>3741</v>
      </c>
      <c r="AA88" s="2"/>
      <c r="AB88" s="2"/>
      <c r="AC88" s="2"/>
      <c r="AD88" s="2"/>
      <c r="AE88" s="2"/>
      <c r="AF88" s="2"/>
      <c r="AG88" s="43"/>
      <c r="AH88" s="43"/>
      <c r="AI88" s="2"/>
      <c r="AJ88" s="1"/>
      <c r="AK88" s="1"/>
      <c r="AL88" s="1"/>
      <c r="AM88" s="44">
        <f>AG88*AI88*AJ88*AK88</f>
        <v>0</v>
      </c>
      <c r="AN88" s="45">
        <f>AH88*AI88*AJ88*AL88</f>
        <v>0</v>
      </c>
      <c r="AO88" s="2"/>
    </row>
    <row r="89" spans="1:41" ht="48" customHeight="1">
      <c r="A89" s="1">
        <v>71</v>
      </c>
      <c r="B89" s="1" t="s">
        <v>4</v>
      </c>
      <c r="C89" s="1" t="s">
        <v>4</v>
      </c>
      <c r="D89" s="1">
        <v>4</v>
      </c>
      <c r="E89" s="1" t="s">
        <v>394</v>
      </c>
      <c r="F89" s="1" t="s">
        <v>2318</v>
      </c>
      <c r="G89" s="9" t="s">
        <v>2453</v>
      </c>
      <c r="H89" s="1" t="s">
        <v>4166</v>
      </c>
      <c r="I89" s="1" t="s">
        <v>4127</v>
      </c>
      <c r="J89" s="63">
        <v>29104391</v>
      </c>
      <c r="K89" s="1" t="s">
        <v>2438</v>
      </c>
      <c r="L89" s="1">
        <v>3447000</v>
      </c>
      <c r="M89" s="1" t="s">
        <v>3735</v>
      </c>
      <c r="N89" s="1" t="s">
        <v>4181</v>
      </c>
      <c r="O89" s="1">
        <v>3428</v>
      </c>
      <c r="P89" s="64">
        <v>43073</v>
      </c>
      <c r="Q89" s="64">
        <v>46724</v>
      </c>
      <c r="R89" s="62" t="s">
        <v>2440</v>
      </c>
      <c r="S89" s="1" t="s">
        <v>2442</v>
      </c>
      <c r="T89" s="1" t="s">
        <v>2443</v>
      </c>
      <c r="U89" s="12" t="s">
        <v>2678</v>
      </c>
      <c r="V89" s="12" t="s">
        <v>395</v>
      </c>
      <c r="W89" s="9">
        <v>2549</v>
      </c>
      <c r="X89" s="60">
        <v>112679.3</v>
      </c>
      <c r="Y89" s="60">
        <v>98248.67</v>
      </c>
      <c r="Z89" s="2" t="s">
        <v>3769</v>
      </c>
      <c r="AA89" s="67">
        <v>43768</v>
      </c>
      <c r="AB89" s="50">
        <v>0.49374999999999997</v>
      </c>
      <c r="AC89" s="103"/>
      <c r="AD89" s="103"/>
      <c r="AE89" s="103"/>
      <c r="AF89" s="103"/>
      <c r="AG89" s="103"/>
      <c r="AH89" s="103"/>
      <c r="AI89" s="103"/>
      <c r="AJ89" s="103"/>
      <c r="AK89" s="103"/>
      <c r="AL89" s="103"/>
      <c r="AM89" s="117">
        <f>AG89*AI89*AJ89*AK89</f>
        <v>0</v>
      </c>
      <c r="AN89" s="118">
        <f>AH89*AI89*AJ89*AL89</f>
        <v>0</v>
      </c>
      <c r="AO89" s="2" t="s">
        <v>2457</v>
      </c>
    </row>
    <row r="90" spans="1:41" ht="84" customHeight="1">
      <c r="A90" s="1">
        <v>72</v>
      </c>
      <c r="B90" s="1" t="s">
        <v>4</v>
      </c>
      <c r="C90" s="1" t="s">
        <v>4</v>
      </c>
      <c r="D90" s="1">
        <v>4</v>
      </c>
      <c r="E90" s="1" t="s">
        <v>396</v>
      </c>
      <c r="F90" s="9" t="s">
        <v>398</v>
      </c>
      <c r="G90" s="9" t="s">
        <v>2454</v>
      </c>
      <c r="H90" s="1" t="s">
        <v>4166</v>
      </c>
      <c r="I90" s="1" t="s">
        <v>4127</v>
      </c>
      <c r="J90" s="63">
        <v>29104391</v>
      </c>
      <c r="K90" s="1" t="s">
        <v>2438</v>
      </c>
      <c r="L90" s="1">
        <v>3447000</v>
      </c>
      <c r="M90" s="1" t="s">
        <v>3735</v>
      </c>
      <c r="N90" s="1" t="s">
        <v>4181</v>
      </c>
      <c r="O90" s="1">
        <v>3428</v>
      </c>
      <c r="P90" s="64">
        <v>43073</v>
      </c>
      <c r="Q90" s="64">
        <v>46724</v>
      </c>
      <c r="R90" s="62" t="s">
        <v>2440</v>
      </c>
      <c r="S90" s="1" t="s">
        <v>2441</v>
      </c>
      <c r="T90" s="1" t="s">
        <v>2443</v>
      </c>
      <c r="U90" s="12" t="s">
        <v>2679</v>
      </c>
      <c r="V90" s="12" t="s">
        <v>400</v>
      </c>
      <c r="W90" s="9">
        <v>2551</v>
      </c>
      <c r="X90" s="60">
        <v>113146.88</v>
      </c>
      <c r="Y90" s="60">
        <v>98063.81</v>
      </c>
      <c r="Z90" s="2" t="s">
        <v>4062</v>
      </c>
      <c r="AA90" s="67">
        <v>43385</v>
      </c>
      <c r="AB90" s="50">
        <v>0.513888888888889</v>
      </c>
      <c r="AC90" s="103"/>
      <c r="AD90" s="103"/>
      <c r="AE90" s="103"/>
      <c r="AF90" s="103"/>
      <c r="AG90" s="103"/>
      <c r="AH90" s="103"/>
      <c r="AI90" s="103"/>
      <c r="AJ90" s="103"/>
      <c r="AK90" s="103"/>
      <c r="AL90" s="103"/>
      <c r="AM90" s="117">
        <v>442.46568483744215</v>
      </c>
      <c r="AN90" s="118">
        <v>408.9717260875089</v>
      </c>
      <c r="AO90" s="2"/>
    </row>
    <row r="91" spans="1:41" ht="45.75" customHeight="1">
      <c r="A91" s="1">
        <v>73</v>
      </c>
      <c r="B91" s="1" t="s">
        <v>4</v>
      </c>
      <c r="C91" s="1" t="s">
        <v>4</v>
      </c>
      <c r="D91" s="1">
        <v>4</v>
      </c>
      <c r="E91" s="1" t="s">
        <v>397</v>
      </c>
      <c r="F91" s="9" t="s">
        <v>399</v>
      </c>
      <c r="G91" s="9" t="s">
        <v>2454</v>
      </c>
      <c r="H91" s="1" t="s">
        <v>4166</v>
      </c>
      <c r="I91" s="1" t="s">
        <v>4127</v>
      </c>
      <c r="J91" s="63">
        <v>29104391</v>
      </c>
      <c r="K91" s="1" t="s">
        <v>2438</v>
      </c>
      <c r="L91" s="1">
        <v>3447000</v>
      </c>
      <c r="M91" s="1" t="s">
        <v>3735</v>
      </c>
      <c r="N91" s="1" t="s">
        <v>4181</v>
      </c>
      <c r="O91" s="1">
        <v>3428</v>
      </c>
      <c r="P91" s="64">
        <v>43073</v>
      </c>
      <c r="Q91" s="64">
        <v>46724</v>
      </c>
      <c r="R91" s="62" t="s">
        <v>2440</v>
      </c>
      <c r="S91" s="1" t="s">
        <v>2442</v>
      </c>
      <c r="T91" s="9" t="s">
        <v>2444</v>
      </c>
      <c r="U91" s="12" t="s">
        <v>2680</v>
      </c>
      <c r="V91" s="12" t="s">
        <v>401</v>
      </c>
      <c r="W91" s="9">
        <v>2549</v>
      </c>
      <c r="X91" s="60">
        <v>113216.16</v>
      </c>
      <c r="Y91" s="60">
        <v>98042.17</v>
      </c>
      <c r="Z91" s="2" t="s">
        <v>3950</v>
      </c>
      <c r="AA91" s="67">
        <v>43768</v>
      </c>
      <c r="AB91" s="50">
        <v>0.5111111111111112</v>
      </c>
      <c r="AC91" s="103"/>
      <c r="AD91" s="103"/>
      <c r="AE91" s="103"/>
      <c r="AF91" s="103"/>
      <c r="AG91" s="103"/>
      <c r="AH91" s="103"/>
      <c r="AI91" s="103"/>
      <c r="AJ91" s="103"/>
      <c r="AK91" s="103"/>
      <c r="AL91" s="103"/>
      <c r="AM91" s="117">
        <f>AG91*AI91*AJ91*AK91</f>
        <v>0</v>
      </c>
      <c r="AN91" s="118">
        <f>AH91*AI91*AJ91*AL91</f>
        <v>0</v>
      </c>
      <c r="AO91" s="2" t="s">
        <v>2457</v>
      </c>
    </row>
    <row r="92" spans="1:41" ht="42.75" customHeight="1">
      <c r="A92" s="1">
        <v>74</v>
      </c>
      <c r="B92" s="1" t="s">
        <v>4</v>
      </c>
      <c r="C92" s="1" t="s">
        <v>4</v>
      </c>
      <c r="D92" s="1">
        <v>4</v>
      </c>
      <c r="E92" s="1" t="s">
        <v>402</v>
      </c>
      <c r="F92" s="9" t="s">
        <v>405</v>
      </c>
      <c r="G92" s="9" t="s">
        <v>2454</v>
      </c>
      <c r="H92" s="1" t="s">
        <v>4166</v>
      </c>
      <c r="I92" s="1" t="s">
        <v>4127</v>
      </c>
      <c r="J92" s="63">
        <v>29104391</v>
      </c>
      <c r="K92" s="1" t="s">
        <v>2438</v>
      </c>
      <c r="L92" s="1">
        <v>3447000</v>
      </c>
      <c r="M92" s="1" t="s">
        <v>3735</v>
      </c>
      <c r="N92" s="1" t="s">
        <v>4181</v>
      </c>
      <c r="O92" s="1">
        <v>3428</v>
      </c>
      <c r="P92" s="64">
        <v>43073</v>
      </c>
      <c r="Q92" s="64">
        <v>46724</v>
      </c>
      <c r="R92" s="62" t="s">
        <v>2440</v>
      </c>
      <c r="S92" s="1" t="s">
        <v>2441</v>
      </c>
      <c r="T92" s="1" t="s">
        <v>2443</v>
      </c>
      <c r="U92" s="12" t="s">
        <v>2681</v>
      </c>
      <c r="V92" s="12" t="s">
        <v>407</v>
      </c>
      <c r="W92" s="9">
        <v>2548</v>
      </c>
      <c r="X92" s="60">
        <v>113265.11</v>
      </c>
      <c r="Y92" s="60">
        <v>98067.74</v>
      </c>
      <c r="Z92" s="2" t="s">
        <v>4046</v>
      </c>
      <c r="AA92" s="67"/>
      <c r="AB92" s="2"/>
      <c r="AC92" s="2"/>
      <c r="AD92" s="2"/>
      <c r="AE92" s="2"/>
      <c r="AF92" s="2"/>
      <c r="AG92" s="43"/>
      <c r="AH92" s="43"/>
      <c r="AI92" s="2"/>
      <c r="AJ92" s="1"/>
      <c r="AK92" s="1"/>
      <c r="AL92" s="1"/>
      <c r="AM92" s="117">
        <f>AVERAGE(AM93:AM94)</f>
        <v>503187.49870848004</v>
      </c>
      <c r="AN92" s="117">
        <f>AVERAGE(AN93:AN94)</f>
        <v>421901.29857024</v>
      </c>
      <c r="AO92" s="2" t="s">
        <v>2457</v>
      </c>
    </row>
    <row r="93" spans="1:41" ht="39.75" customHeight="1" hidden="1">
      <c r="A93" s="1"/>
      <c r="B93" s="1"/>
      <c r="C93" s="1"/>
      <c r="D93" s="1"/>
      <c r="E93" s="1"/>
      <c r="F93" s="9"/>
      <c r="G93" s="9"/>
      <c r="H93" s="1"/>
      <c r="I93" s="1"/>
      <c r="J93" s="63"/>
      <c r="K93" s="1"/>
      <c r="L93" s="1"/>
      <c r="M93" s="1"/>
      <c r="N93" s="1" t="s">
        <v>4181</v>
      </c>
      <c r="O93" s="1"/>
      <c r="P93" s="64"/>
      <c r="Q93" s="64"/>
      <c r="R93" s="62"/>
      <c r="S93" s="1"/>
      <c r="T93" s="1"/>
      <c r="U93" s="12"/>
      <c r="V93" s="12"/>
      <c r="W93" s="9"/>
      <c r="X93" s="60"/>
      <c r="Y93" s="60"/>
      <c r="Z93" s="2" t="s">
        <v>3753</v>
      </c>
      <c r="AA93" s="67">
        <v>43797</v>
      </c>
      <c r="AB93" s="2" t="s">
        <v>2475</v>
      </c>
      <c r="AC93" s="2">
        <v>286</v>
      </c>
      <c r="AD93" s="2">
        <v>252</v>
      </c>
      <c r="AE93" s="2">
        <v>86.462</v>
      </c>
      <c r="AF93" s="2">
        <v>24</v>
      </c>
      <c r="AG93" s="102">
        <f>AE93*AC93*AF93*0.0036</f>
        <v>2136.5106048000002</v>
      </c>
      <c r="AH93" s="102">
        <f>AE93*AD93*AF93*0.0036</f>
        <v>1882.5198335999999</v>
      </c>
      <c r="AI93" s="2">
        <v>30</v>
      </c>
      <c r="AJ93" s="1">
        <v>12</v>
      </c>
      <c r="AK93" s="1">
        <v>0.62</v>
      </c>
      <c r="AL93" s="1">
        <v>0.78</v>
      </c>
      <c r="AM93" s="127">
        <f>AG93*AI93*AJ93*AK93</f>
        <v>476869.16699136</v>
      </c>
      <c r="AN93" s="128">
        <f>AH93*AI93*AJ93*AL93</f>
        <v>528611.56927488</v>
      </c>
      <c r="AO93" s="2"/>
    </row>
    <row r="94" spans="1:41" ht="57.75" customHeight="1" hidden="1">
      <c r="A94" s="1"/>
      <c r="B94" s="1"/>
      <c r="C94" s="1"/>
      <c r="D94" s="1"/>
      <c r="E94" s="1"/>
      <c r="F94" s="9"/>
      <c r="G94" s="9"/>
      <c r="H94" s="1"/>
      <c r="I94" s="1"/>
      <c r="J94" s="63"/>
      <c r="K94" s="1"/>
      <c r="L94" s="1"/>
      <c r="M94" s="1"/>
      <c r="N94" s="1" t="s">
        <v>4181</v>
      </c>
      <c r="O94" s="1"/>
      <c r="P94" s="64"/>
      <c r="Q94" s="64"/>
      <c r="R94" s="62"/>
      <c r="S94" s="1"/>
      <c r="T94" s="1"/>
      <c r="U94" s="12"/>
      <c r="V94" s="12"/>
      <c r="W94" s="9"/>
      <c r="X94" s="60"/>
      <c r="Y94" s="60"/>
      <c r="Z94" s="2" t="s">
        <v>4064</v>
      </c>
      <c r="AA94" s="67">
        <v>43566</v>
      </c>
      <c r="AB94" s="2" t="s">
        <v>2527</v>
      </c>
      <c r="AC94" s="2">
        <v>322</v>
      </c>
      <c r="AD94" s="2">
        <v>158</v>
      </c>
      <c r="AE94" s="2">
        <v>86.67</v>
      </c>
      <c r="AF94" s="2">
        <v>24</v>
      </c>
      <c r="AG94" s="102">
        <f>AE94*AC94*AF94*0.0036</f>
        <v>2411.228736</v>
      </c>
      <c r="AH94" s="102">
        <f>AE94*AD94*AF94*0.0036</f>
        <v>1183.149504</v>
      </c>
      <c r="AI94" s="2">
        <v>30</v>
      </c>
      <c r="AJ94" s="1">
        <v>12</v>
      </c>
      <c r="AK94" s="1">
        <v>0.61</v>
      </c>
      <c r="AL94" s="1">
        <v>0.74</v>
      </c>
      <c r="AM94" s="127">
        <f>AG94*AI94*AJ94*AK94</f>
        <v>529505.8304256</v>
      </c>
      <c r="AN94" s="128">
        <f>AH94*AI94*AJ94*AL94</f>
        <v>315191.02786559996</v>
      </c>
      <c r="AO94" s="2"/>
    </row>
    <row r="95" spans="1:41" ht="81" customHeight="1">
      <c r="A95" s="1">
        <v>75</v>
      </c>
      <c r="B95" s="1" t="s">
        <v>4</v>
      </c>
      <c r="C95" s="1" t="s">
        <v>4</v>
      </c>
      <c r="D95" s="1">
        <v>4</v>
      </c>
      <c r="E95" s="1" t="s">
        <v>403</v>
      </c>
      <c r="F95" s="9" t="s">
        <v>406</v>
      </c>
      <c r="G95" s="9" t="s">
        <v>2454</v>
      </c>
      <c r="H95" s="1" t="s">
        <v>4166</v>
      </c>
      <c r="I95" s="1" t="s">
        <v>4127</v>
      </c>
      <c r="J95" s="63">
        <v>29104391</v>
      </c>
      <c r="K95" s="1" t="s">
        <v>2438</v>
      </c>
      <c r="L95" s="1">
        <v>3447000</v>
      </c>
      <c r="M95" s="1" t="s">
        <v>3735</v>
      </c>
      <c r="N95" s="1" t="s">
        <v>4181</v>
      </c>
      <c r="O95" s="1">
        <v>3428</v>
      </c>
      <c r="P95" s="64">
        <v>43073</v>
      </c>
      <c r="Q95" s="64">
        <v>46724</v>
      </c>
      <c r="R95" s="62" t="s">
        <v>2440</v>
      </c>
      <c r="S95" s="1" t="s">
        <v>2442</v>
      </c>
      <c r="T95" s="1" t="s">
        <v>2443</v>
      </c>
      <c r="U95" s="12" t="s">
        <v>2682</v>
      </c>
      <c r="V95" s="12" t="s">
        <v>408</v>
      </c>
      <c r="W95" s="9">
        <v>2548</v>
      </c>
      <c r="X95" s="60">
        <v>113431.27</v>
      </c>
      <c r="Y95" s="60">
        <v>97727.96</v>
      </c>
      <c r="Z95" s="2" t="s">
        <v>4140</v>
      </c>
      <c r="AA95" s="67">
        <v>43382</v>
      </c>
      <c r="AB95" s="2" t="s">
        <v>2408</v>
      </c>
      <c r="AC95" s="2"/>
      <c r="AD95" s="2"/>
      <c r="AE95" s="2"/>
      <c r="AF95" s="2"/>
      <c r="AG95" s="43"/>
      <c r="AH95" s="43"/>
      <c r="AI95" s="2"/>
      <c r="AJ95" s="1"/>
      <c r="AK95" s="1"/>
      <c r="AL95" s="1"/>
      <c r="AM95" s="117">
        <v>20765.6330079437</v>
      </c>
      <c r="AN95" s="118">
        <v>8335.279744687527</v>
      </c>
      <c r="AO95" s="2" t="s">
        <v>2457</v>
      </c>
    </row>
    <row r="96" spans="1:41" ht="69" customHeight="1">
      <c r="A96" s="1">
        <v>76</v>
      </c>
      <c r="B96" s="1" t="s">
        <v>4</v>
      </c>
      <c r="C96" s="1" t="s">
        <v>4</v>
      </c>
      <c r="D96" s="1">
        <v>4</v>
      </c>
      <c r="E96" s="1" t="s">
        <v>404</v>
      </c>
      <c r="F96" s="9" t="s">
        <v>2319</v>
      </c>
      <c r="G96" s="9" t="s">
        <v>2454</v>
      </c>
      <c r="H96" s="1" t="s">
        <v>4166</v>
      </c>
      <c r="I96" s="1" t="s">
        <v>4127</v>
      </c>
      <c r="J96" s="63">
        <v>29104391</v>
      </c>
      <c r="K96" s="1" t="s">
        <v>2438</v>
      </c>
      <c r="L96" s="1">
        <v>3447000</v>
      </c>
      <c r="M96" s="1" t="s">
        <v>3735</v>
      </c>
      <c r="N96" s="1" t="s">
        <v>4181</v>
      </c>
      <c r="O96" s="1">
        <v>3428</v>
      </c>
      <c r="P96" s="64">
        <v>43073</v>
      </c>
      <c r="Q96" s="64">
        <v>46724</v>
      </c>
      <c r="R96" s="62" t="s">
        <v>2440</v>
      </c>
      <c r="S96" s="1" t="s">
        <v>2442</v>
      </c>
      <c r="T96" s="1" t="s">
        <v>2443</v>
      </c>
      <c r="U96" s="12" t="s">
        <v>2683</v>
      </c>
      <c r="V96" s="12" t="s">
        <v>409</v>
      </c>
      <c r="W96" s="9">
        <v>2549</v>
      </c>
      <c r="X96" s="60">
        <v>113495.73</v>
      </c>
      <c r="Y96" s="60">
        <v>97509.85</v>
      </c>
      <c r="Z96" s="2" t="s">
        <v>4046</v>
      </c>
      <c r="AA96" s="67"/>
      <c r="AB96" s="2"/>
      <c r="AC96" s="2"/>
      <c r="AD96" s="2"/>
      <c r="AE96" s="2"/>
      <c r="AF96" s="2"/>
      <c r="AG96" s="43"/>
      <c r="AH96" s="43"/>
      <c r="AI96" s="2"/>
      <c r="AJ96" s="1"/>
      <c r="AK96" s="1"/>
      <c r="AL96" s="1"/>
      <c r="AM96" s="117">
        <f>AVERAGE(AM97:AM98)</f>
        <v>16266.847835519997</v>
      </c>
      <c r="AN96" s="117">
        <f>AVERAGE(AN97:AN98)</f>
        <v>15678.601367039997</v>
      </c>
      <c r="AO96" s="2" t="s">
        <v>2457</v>
      </c>
    </row>
    <row r="97" spans="1:41" ht="69" customHeight="1">
      <c r="A97" s="1"/>
      <c r="B97" s="1"/>
      <c r="C97" s="1"/>
      <c r="D97" s="1"/>
      <c r="E97" s="1"/>
      <c r="F97" s="9"/>
      <c r="G97" s="9"/>
      <c r="H97" s="1"/>
      <c r="I97" s="1"/>
      <c r="J97" s="63"/>
      <c r="K97" s="1"/>
      <c r="L97" s="1"/>
      <c r="M97" s="1"/>
      <c r="N97" s="1"/>
      <c r="O97" s="1"/>
      <c r="P97" s="64"/>
      <c r="Q97" s="64"/>
      <c r="R97" s="62"/>
      <c r="S97" s="1"/>
      <c r="T97" s="1"/>
      <c r="U97" s="12"/>
      <c r="V97" s="12"/>
      <c r="W97" s="9"/>
      <c r="X97" s="60"/>
      <c r="Y97" s="60"/>
      <c r="Z97" s="2" t="s">
        <v>3753</v>
      </c>
      <c r="AA97" s="67">
        <v>43797</v>
      </c>
      <c r="AB97" s="2" t="s">
        <v>3768</v>
      </c>
      <c r="AC97" s="2">
        <v>135</v>
      </c>
      <c r="AD97" s="2">
        <v>54</v>
      </c>
      <c r="AE97" s="2">
        <v>6.339</v>
      </c>
      <c r="AF97" s="2">
        <v>24</v>
      </c>
      <c r="AG97" s="102">
        <f>AE97*AC97*AF97*0.0036</f>
        <v>73.938096</v>
      </c>
      <c r="AH97" s="102">
        <f>AE97*AD97*AF97*0.0036</f>
        <v>29.575238400000003</v>
      </c>
      <c r="AI97" s="2">
        <v>30</v>
      </c>
      <c r="AJ97" s="1">
        <v>12</v>
      </c>
      <c r="AK97" s="1">
        <v>0.65</v>
      </c>
      <c r="AL97" s="1">
        <v>0.82</v>
      </c>
      <c r="AM97" s="127">
        <f>AG97*AI97*AJ97*AK97</f>
        <v>17301.514464</v>
      </c>
      <c r="AN97" s="128">
        <f>AH97*AI97*AJ97*AL97</f>
        <v>8730.61037568</v>
      </c>
      <c r="AO97" s="2"/>
    </row>
    <row r="98" spans="1:41" ht="69" customHeight="1">
      <c r="A98" s="1"/>
      <c r="B98" s="1"/>
      <c r="C98" s="1"/>
      <c r="D98" s="1"/>
      <c r="E98" s="1"/>
      <c r="F98" s="9"/>
      <c r="G98" s="9"/>
      <c r="H98" s="1"/>
      <c r="I98" s="1"/>
      <c r="J98" s="63"/>
      <c r="K98" s="1"/>
      <c r="L98" s="1"/>
      <c r="M98" s="1"/>
      <c r="N98" s="1"/>
      <c r="O98" s="1"/>
      <c r="P98" s="64"/>
      <c r="Q98" s="64"/>
      <c r="R98" s="62"/>
      <c r="S98" s="1"/>
      <c r="T98" s="1"/>
      <c r="U98" s="12"/>
      <c r="V98" s="12"/>
      <c r="W98" s="9"/>
      <c r="X98" s="60"/>
      <c r="Y98" s="60"/>
      <c r="Z98" s="2" t="s">
        <v>4063</v>
      </c>
      <c r="AA98" s="67">
        <v>43557</v>
      </c>
      <c r="AB98" s="2" t="s">
        <v>3751</v>
      </c>
      <c r="AC98" s="2">
        <v>98</v>
      </c>
      <c r="AD98" s="2">
        <v>120</v>
      </c>
      <c r="AE98" s="2">
        <v>8.191999999999998</v>
      </c>
      <c r="AF98" s="2">
        <v>24</v>
      </c>
      <c r="AG98" s="102">
        <f>AE98*AC98*AF98*0.0036</f>
        <v>69.36330239999998</v>
      </c>
      <c r="AH98" s="102">
        <f>AE98*AD98*AF98*0.0036</f>
        <v>84.93465599999998</v>
      </c>
      <c r="AI98" s="2">
        <v>30</v>
      </c>
      <c r="AJ98" s="1">
        <v>12</v>
      </c>
      <c r="AK98" s="1">
        <v>0.61</v>
      </c>
      <c r="AL98" s="1">
        <v>0.74</v>
      </c>
      <c r="AM98" s="127">
        <f>AG98*AI98*AJ98*AK98</f>
        <v>15232.181207039994</v>
      </c>
      <c r="AN98" s="128">
        <f>AH98*AI98*AJ98*AL98</f>
        <v>22626.592358399994</v>
      </c>
      <c r="AO98" s="2"/>
    </row>
    <row r="99" spans="1:41" ht="37.5" customHeight="1">
      <c r="A99" s="1">
        <v>77</v>
      </c>
      <c r="B99" s="1" t="s">
        <v>4</v>
      </c>
      <c r="C99" s="1" t="s">
        <v>4</v>
      </c>
      <c r="D99" s="1">
        <v>4</v>
      </c>
      <c r="E99" s="1" t="s">
        <v>410</v>
      </c>
      <c r="F99" s="9" t="s">
        <v>414</v>
      </c>
      <c r="G99" s="9" t="s">
        <v>2453</v>
      </c>
      <c r="H99" s="1" t="s">
        <v>4166</v>
      </c>
      <c r="I99" s="1" t="s">
        <v>4127</v>
      </c>
      <c r="J99" s="63">
        <v>29104391</v>
      </c>
      <c r="K99" s="1" t="s">
        <v>2438</v>
      </c>
      <c r="L99" s="1">
        <v>3447000</v>
      </c>
      <c r="M99" s="1" t="s">
        <v>3735</v>
      </c>
      <c r="N99" s="1" t="s">
        <v>4181</v>
      </c>
      <c r="O99" s="1">
        <v>3428</v>
      </c>
      <c r="P99" s="64">
        <v>43073</v>
      </c>
      <c r="Q99" s="64">
        <v>46724</v>
      </c>
      <c r="R99" s="62" t="s">
        <v>2440</v>
      </c>
      <c r="S99" s="1" t="s">
        <v>2442</v>
      </c>
      <c r="T99" s="1" t="s">
        <v>2443</v>
      </c>
      <c r="U99" s="12" t="s">
        <v>2684</v>
      </c>
      <c r="V99" s="12" t="s">
        <v>418</v>
      </c>
      <c r="W99" s="9">
        <v>2550</v>
      </c>
      <c r="X99" s="60">
        <v>113701.31</v>
      </c>
      <c r="Y99" s="60">
        <v>97431.62</v>
      </c>
      <c r="Z99" s="2" t="s">
        <v>4046</v>
      </c>
      <c r="AA99" s="67"/>
      <c r="AB99" s="2"/>
      <c r="AC99" s="2"/>
      <c r="AD99" s="2"/>
      <c r="AE99" s="2"/>
      <c r="AF99" s="2"/>
      <c r="AG99" s="43"/>
      <c r="AH99" s="43"/>
      <c r="AI99" s="2"/>
      <c r="AJ99" s="1"/>
      <c r="AK99" s="1"/>
      <c r="AL99" s="1"/>
      <c r="AM99" s="117">
        <f>AVERAGE(AM100:AM101)</f>
        <v>10504.084406399998</v>
      </c>
      <c r="AN99" s="117">
        <f>AVERAGE(AN100:AN101)</f>
        <v>8687.745828863997</v>
      </c>
      <c r="AO99" s="2" t="s">
        <v>2457</v>
      </c>
    </row>
    <row r="100" spans="1:41" ht="35.25" customHeight="1">
      <c r="A100" s="1"/>
      <c r="B100" s="1"/>
      <c r="C100" s="1"/>
      <c r="D100" s="1"/>
      <c r="E100" s="1"/>
      <c r="F100" s="9"/>
      <c r="G100" s="9"/>
      <c r="H100" s="1"/>
      <c r="I100" s="1"/>
      <c r="J100" s="63"/>
      <c r="K100" s="1"/>
      <c r="L100" s="1"/>
      <c r="M100" s="1"/>
      <c r="N100" s="1"/>
      <c r="O100" s="1"/>
      <c r="P100" s="64"/>
      <c r="Q100" s="64"/>
      <c r="R100" s="62"/>
      <c r="S100" s="1"/>
      <c r="T100" s="1"/>
      <c r="U100" s="12"/>
      <c r="V100" s="12"/>
      <c r="W100" s="9"/>
      <c r="X100" s="60"/>
      <c r="Y100" s="60"/>
      <c r="Z100" s="2" t="s">
        <v>3753</v>
      </c>
      <c r="AA100" s="67">
        <v>43797</v>
      </c>
      <c r="AB100" s="2" t="s">
        <v>3770</v>
      </c>
      <c r="AC100" s="2">
        <v>151</v>
      </c>
      <c r="AD100" s="2">
        <v>56</v>
      </c>
      <c r="AE100" s="2">
        <v>3.417</v>
      </c>
      <c r="AF100" s="2">
        <v>24</v>
      </c>
      <c r="AG100" s="102">
        <f>AE100*AC100*AF100*0.0036</f>
        <v>44.57954879999999</v>
      </c>
      <c r="AH100" s="102">
        <f>AE100*AD100*AF100*0.0036</f>
        <v>16.5328128</v>
      </c>
      <c r="AI100" s="2">
        <v>30</v>
      </c>
      <c r="AJ100" s="1">
        <v>12</v>
      </c>
      <c r="AK100" s="1">
        <v>0.65</v>
      </c>
      <c r="AL100" s="1">
        <v>0.82</v>
      </c>
      <c r="AM100" s="127">
        <f aca="true" t="shared" si="2" ref="AM100:AM105">AG100*AI100*AJ100*AK100</f>
        <v>10431.614419199997</v>
      </c>
      <c r="AN100" s="128">
        <f aca="true" t="shared" si="3" ref="AN100:AN105">AH100*AI100*AJ100*AL100</f>
        <v>4880.48633856</v>
      </c>
      <c r="AO100" s="2"/>
    </row>
    <row r="101" spans="1:41" ht="45.75" customHeight="1">
      <c r="A101" s="1"/>
      <c r="B101" s="1"/>
      <c r="C101" s="1"/>
      <c r="D101" s="1"/>
      <c r="E101" s="1"/>
      <c r="F101" s="9"/>
      <c r="G101" s="9"/>
      <c r="H101" s="1"/>
      <c r="I101" s="1"/>
      <c r="J101" s="63"/>
      <c r="K101" s="1"/>
      <c r="L101" s="1"/>
      <c r="M101" s="1"/>
      <c r="N101" s="1"/>
      <c r="O101" s="1"/>
      <c r="P101" s="64"/>
      <c r="Q101" s="64"/>
      <c r="R101" s="62"/>
      <c r="S101" s="1"/>
      <c r="T101" s="1"/>
      <c r="U101" s="12"/>
      <c r="V101" s="12"/>
      <c r="W101" s="9"/>
      <c r="X101" s="60"/>
      <c r="Y101" s="60"/>
      <c r="Z101" s="2" t="s">
        <v>4065</v>
      </c>
      <c r="AA101" s="67">
        <v>43557</v>
      </c>
      <c r="AB101" s="2" t="s">
        <v>2408</v>
      </c>
      <c r="AC101" s="2">
        <v>65</v>
      </c>
      <c r="AD101" s="2">
        <v>63.3</v>
      </c>
      <c r="AE101" s="2">
        <f>(4.54+10.19+10.78+9.11+8.26)/5</f>
        <v>8.575999999999999</v>
      </c>
      <c r="AF101" s="2">
        <v>24</v>
      </c>
      <c r="AG101" s="102">
        <f>AE101*AC101*AF101*0.0036</f>
        <v>48.16281599999999</v>
      </c>
      <c r="AH101" s="102">
        <f>AE101*AD101*AF101*0.0036</f>
        <v>46.90317311999999</v>
      </c>
      <c r="AI101" s="2">
        <v>30</v>
      </c>
      <c r="AJ101" s="1">
        <v>12</v>
      </c>
      <c r="AK101" s="1">
        <v>0.61</v>
      </c>
      <c r="AL101" s="1">
        <v>0.74</v>
      </c>
      <c r="AM101" s="127">
        <f t="shared" si="2"/>
        <v>10576.554393599998</v>
      </c>
      <c r="AN101" s="128">
        <f t="shared" si="3"/>
        <v>12495.005319167996</v>
      </c>
      <c r="AO101" s="2"/>
    </row>
    <row r="102" spans="1:41" ht="12.75">
      <c r="A102" s="1">
        <v>78</v>
      </c>
      <c r="B102" s="1" t="s">
        <v>4</v>
      </c>
      <c r="C102" s="1" t="s">
        <v>4</v>
      </c>
      <c r="D102" s="1">
        <v>4</v>
      </c>
      <c r="E102" s="1" t="s">
        <v>411</v>
      </c>
      <c r="F102" s="9" t="s">
        <v>415</v>
      </c>
      <c r="G102" s="9" t="s">
        <v>2453</v>
      </c>
      <c r="H102" s="1" t="s">
        <v>4166</v>
      </c>
      <c r="I102" s="1" t="s">
        <v>4127</v>
      </c>
      <c r="J102" s="63">
        <v>29104391</v>
      </c>
      <c r="K102" s="1" t="s">
        <v>2438</v>
      </c>
      <c r="L102" s="1">
        <v>3447000</v>
      </c>
      <c r="M102" s="1" t="s">
        <v>3735</v>
      </c>
      <c r="N102" s="1" t="s">
        <v>4181</v>
      </c>
      <c r="O102" s="1">
        <v>3428</v>
      </c>
      <c r="P102" s="64">
        <v>43073</v>
      </c>
      <c r="Q102" s="64">
        <v>46724</v>
      </c>
      <c r="R102" s="62" t="s">
        <v>2440</v>
      </c>
      <c r="S102" s="1" t="s">
        <v>2442</v>
      </c>
      <c r="T102" s="1" t="s">
        <v>2443</v>
      </c>
      <c r="U102" s="12" t="s">
        <v>2685</v>
      </c>
      <c r="V102" s="12" t="s">
        <v>419</v>
      </c>
      <c r="W102" s="9">
        <v>2548</v>
      </c>
      <c r="X102" s="60">
        <v>113981.21</v>
      </c>
      <c r="Y102" s="60">
        <v>97006.76</v>
      </c>
      <c r="Z102" s="2" t="s">
        <v>3741</v>
      </c>
      <c r="AA102" s="2"/>
      <c r="AB102" s="2"/>
      <c r="AC102" s="2"/>
      <c r="AD102" s="2"/>
      <c r="AE102" s="2"/>
      <c r="AF102" s="2"/>
      <c r="AG102" s="43"/>
      <c r="AH102" s="43"/>
      <c r="AI102" s="2"/>
      <c r="AJ102" s="1"/>
      <c r="AK102" s="1"/>
      <c r="AL102" s="1"/>
      <c r="AM102" s="44">
        <f t="shared" si="2"/>
        <v>0</v>
      </c>
      <c r="AN102" s="45">
        <f t="shared" si="3"/>
        <v>0</v>
      </c>
      <c r="AO102" s="2"/>
    </row>
    <row r="103" spans="1:41" ht="12.75">
      <c r="A103" s="1">
        <v>79</v>
      </c>
      <c r="B103" s="1" t="s">
        <v>4</v>
      </c>
      <c r="C103" s="1" t="s">
        <v>4</v>
      </c>
      <c r="D103" s="1">
        <v>4</v>
      </c>
      <c r="E103" s="1" t="s">
        <v>412</v>
      </c>
      <c r="F103" s="9" t="s">
        <v>416</v>
      </c>
      <c r="G103" s="9" t="s">
        <v>2453</v>
      </c>
      <c r="H103" s="1" t="s">
        <v>4166</v>
      </c>
      <c r="I103" s="1" t="s">
        <v>4127</v>
      </c>
      <c r="J103" s="63">
        <v>29104391</v>
      </c>
      <c r="K103" s="1" t="s">
        <v>2438</v>
      </c>
      <c r="L103" s="1">
        <v>3447000</v>
      </c>
      <c r="M103" s="1" t="s">
        <v>3735</v>
      </c>
      <c r="N103" s="1" t="s">
        <v>4181</v>
      </c>
      <c r="O103" s="1">
        <v>3428</v>
      </c>
      <c r="P103" s="64">
        <v>43073</v>
      </c>
      <c r="Q103" s="64">
        <v>46724</v>
      </c>
      <c r="R103" s="62" t="s">
        <v>2440</v>
      </c>
      <c r="S103" s="9" t="s">
        <v>2442</v>
      </c>
      <c r="T103" s="1" t="s">
        <v>2443</v>
      </c>
      <c r="U103" s="12" t="s">
        <v>2686</v>
      </c>
      <c r="V103" s="12" t="s">
        <v>420</v>
      </c>
      <c r="W103" s="9">
        <v>2549</v>
      </c>
      <c r="X103" s="2">
        <v>114103.917</v>
      </c>
      <c r="Y103" s="2">
        <v>96796.351</v>
      </c>
      <c r="Z103" s="2" t="s">
        <v>3741</v>
      </c>
      <c r="AA103" s="2"/>
      <c r="AB103" s="2"/>
      <c r="AC103" s="2"/>
      <c r="AD103" s="2"/>
      <c r="AE103" s="2"/>
      <c r="AF103" s="2"/>
      <c r="AG103" s="43"/>
      <c r="AH103" s="43"/>
      <c r="AI103" s="2"/>
      <c r="AJ103" s="1"/>
      <c r="AK103" s="1"/>
      <c r="AL103" s="1"/>
      <c r="AM103" s="44">
        <f t="shared" si="2"/>
        <v>0</v>
      </c>
      <c r="AN103" s="45">
        <f t="shared" si="3"/>
        <v>0</v>
      </c>
      <c r="AO103" s="2"/>
    </row>
    <row r="104" spans="1:41" ht="12.75">
      <c r="A104" s="1">
        <v>80</v>
      </c>
      <c r="B104" s="1" t="s">
        <v>4</v>
      </c>
      <c r="C104" s="1" t="s">
        <v>4</v>
      </c>
      <c r="D104" s="1">
        <v>4</v>
      </c>
      <c r="E104" s="1" t="s">
        <v>413</v>
      </c>
      <c r="F104" s="9" t="s">
        <v>417</v>
      </c>
      <c r="G104" s="9" t="s">
        <v>2453</v>
      </c>
      <c r="H104" s="1" t="s">
        <v>4166</v>
      </c>
      <c r="I104" s="1" t="s">
        <v>4127</v>
      </c>
      <c r="J104" s="63">
        <v>29104391</v>
      </c>
      <c r="K104" s="1" t="s">
        <v>2438</v>
      </c>
      <c r="L104" s="1">
        <v>3447000</v>
      </c>
      <c r="M104" s="1" t="s">
        <v>3735</v>
      </c>
      <c r="N104" s="1" t="s">
        <v>4181</v>
      </c>
      <c r="O104" s="1">
        <v>3428</v>
      </c>
      <c r="P104" s="64">
        <v>43073</v>
      </c>
      <c r="Q104" s="64">
        <v>46724</v>
      </c>
      <c r="R104" s="62" t="s">
        <v>2440</v>
      </c>
      <c r="S104" s="9" t="s">
        <v>2442</v>
      </c>
      <c r="T104" s="1" t="s">
        <v>2443</v>
      </c>
      <c r="U104" s="12" t="s">
        <v>2687</v>
      </c>
      <c r="V104" s="12" t="s">
        <v>421</v>
      </c>
      <c r="W104" s="9">
        <v>2545</v>
      </c>
      <c r="X104" s="2">
        <v>115378.413</v>
      </c>
      <c r="Y104" s="2">
        <v>95690.276</v>
      </c>
      <c r="Z104" s="2" t="s">
        <v>3741</v>
      </c>
      <c r="AA104" s="2"/>
      <c r="AB104" s="2"/>
      <c r="AC104" s="2"/>
      <c r="AD104" s="2"/>
      <c r="AE104" s="2"/>
      <c r="AF104" s="2"/>
      <c r="AG104" s="43"/>
      <c r="AH104" s="43"/>
      <c r="AI104" s="2"/>
      <c r="AJ104" s="1"/>
      <c r="AK104" s="1"/>
      <c r="AL104" s="1"/>
      <c r="AM104" s="44">
        <f t="shared" si="2"/>
        <v>0</v>
      </c>
      <c r="AN104" s="45">
        <f t="shared" si="3"/>
        <v>0</v>
      </c>
      <c r="AO104" s="2"/>
    </row>
    <row r="105" spans="1:41" ht="90.75" customHeight="1">
      <c r="A105" s="2">
        <v>81</v>
      </c>
      <c r="B105" s="1" t="s">
        <v>4</v>
      </c>
      <c r="C105" s="1" t="s">
        <v>4</v>
      </c>
      <c r="D105" s="1">
        <v>4</v>
      </c>
      <c r="E105" s="1" t="s">
        <v>2353</v>
      </c>
      <c r="F105" s="2" t="s">
        <v>2354</v>
      </c>
      <c r="G105" s="9" t="s">
        <v>2454</v>
      </c>
      <c r="H105" s="1" t="s">
        <v>4166</v>
      </c>
      <c r="I105" s="1" t="s">
        <v>4127</v>
      </c>
      <c r="J105" s="63">
        <v>29104391</v>
      </c>
      <c r="K105" s="1" t="s">
        <v>2438</v>
      </c>
      <c r="L105" s="1">
        <v>3447000</v>
      </c>
      <c r="M105" s="1" t="s">
        <v>3735</v>
      </c>
      <c r="N105" s="1" t="s">
        <v>4181</v>
      </c>
      <c r="O105" s="1">
        <v>3428</v>
      </c>
      <c r="P105" s="64">
        <v>43073</v>
      </c>
      <c r="Q105" s="64">
        <v>46724</v>
      </c>
      <c r="R105" s="62" t="s">
        <v>2440</v>
      </c>
      <c r="S105" s="1" t="s">
        <v>2441</v>
      </c>
      <c r="T105" s="1" t="s">
        <v>2443</v>
      </c>
      <c r="U105" s="2" t="s">
        <v>2688</v>
      </c>
      <c r="V105" s="2" t="s">
        <v>2689</v>
      </c>
      <c r="W105" s="9">
        <v>2544</v>
      </c>
      <c r="X105" s="60">
        <v>115880.52</v>
      </c>
      <c r="Y105" s="60">
        <v>95037.99</v>
      </c>
      <c r="Z105" s="2" t="s">
        <v>4170</v>
      </c>
      <c r="AA105" s="67">
        <v>43599</v>
      </c>
      <c r="AB105" s="2" t="s">
        <v>2407</v>
      </c>
      <c r="AC105" s="2">
        <v>460</v>
      </c>
      <c r="AD105" s="2">
        <v>268</v>
      </c>
      <c r="AE105" s="2">
        <f>(722.1+734.5+956.9+1036.5+1233.9)/5</f>
        <v>936.78</v>
      </c>
      <c r="AF105" s="2">
        <v>24</v>
      </c>
      <c r="AG105" s="43">
        <f>AE105*AC105*AF105*0.0036</f>
        <v>37231.38432</v>
      </c>
      <c r="AH105" s="43">
        <f>AE105*AD105*AF105*0.0036</f>
        <v>21691.328255999997</v>
      </c>
      <c r="AI105" s="2">
        <v>30</v>
      </c>
      <c r="AJ105" s="1">
        <v>12</v>
      </c>
      <c r="AK105" s="1">
        <v>0.8</v>
      </c>
      <c r="AL105" s="1">
        <v>0.88</v>
      </c>
      <c r="AM105" s="44">
        <f t="shared" si="2"/>
        <v>10722638.684160002</v>
      </c>
      <c r="AN105" s="45">
        <f t="shared" si="3"/>
        <v>6871812.791500798</v>
      </c>
      <c r="AO105" s="2" t="s">
        <v>2456</v>
      </c>
    </row>
    <row r="106" spans="1:41" ht="12.75" customHeight="1">
      <c r="A106" s="226" t="s">
        <v>2485</v>
      </c>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119">
        <f>'Subcuencas río Salitre'!AM82+'Subcuencas río Salitre'!AM127+'Subcuencas río Salitre'!AM149+'Subcuencas río Salitre'!AM168</f>
        <v>273202.6792227999</v>
      </c>
      <c r="AN106" s="119">
        <f>'Subcuencas río Salitre'!AN82+'Subcuencas río Salitre'!AN127+'Subcuencas río Salitre'!AN149+'Subcuencas río Salitre'!AN168</f>
        <v>223230.58218931034</v>
      </c>
      <c r="AO106" s="2"/>
    </row>
    <row r="107" spans="1:41" ht="12.75" customHeight="1">
      <c r="A107" s="227" t="s">
        <v>2483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73">
        <f>'Subcuencas río Salitre'!AM83+'Subcuencas río Salitre'!AM128+'Subcuencas río Salitre'!AM150+'Subcuencas río Salitre'!AM169+'Subcuencas río Salitre'!AM192</f>
        <v>677862.1879912736</v>
      </c>
      <c r="AN107" s="73">
        <f>'Subcuencas río Salitre'!AN83+'Subcuencas río Salitre'!AN128+'Subcuencas río Salitre'!AN150+'Subcuencas río Salitre'!AN169+'Subcuencas río Salitre'!AN192</f>
        <v>676741.0422953452</v>
      </c>
      <c r="AO107" s="2"/>
    </row>
    <row r="108" spans="1:43" ht="12.75">
      <c r="A108" s="226" t="s">
        <v>2414</v>
      </c>
      <c r="B108" s="226"/>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119">
        <f>AM60+AM62+AM66+AM67+AM68+AM70+AM71+AM72+AM74+AM75+AM76+AM77+AM78+AM82+AM85+AM89+AM90+AM91+AM92+AM95+AM96+AM99+AM106</f>
        <v>1183147.7522147896</v>
      </c>
      <c r="AN108" s="119">
        <f>AN60+AN62+AN66+AN67+AN68+AN70+AN71+AN72+AN74+AN75+AN76+AN77+AN78+AN82+AN85+AN89+AN90+AN91+AN92+AN95+AN96+AN99+AN106</f>
        <v>868232.8883957871</v>
      </c>
      <c r="AO108" s="2"/>
      <c r="AP108" s="98"/>
      <c r="AQ108" s="98"/>
    </row>
    <row r="109" spans="1:43" ht="43.5" customHeight="1">
      <c r="A109" s="224" t="s">
        <v>2484</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25"/>
      <c r="AM109" s="73">
        <f>'Subcuencas río Salitre'!AM202</f>
        <v>2543992.1571714478</v>
      </c>
      <c r="AN109" s="73">
        <f>'Subcuencas río Salitre'!AN202</f>
        <v>2685948.8244395033</v>
      </c>
      <c r="AO109" s="2"/>
      <c r="AP109" s="98"/>
      <c r="AQ109" s="98"/>
    </row>
    <row r="110" spans="1:43" ht="12.75">
      <c r="A110" s="227" t="s">
        <v>2415</v>
      </c>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73">
        <f>SUM(AM58:AM62,AM65:AM92,AM95:AM96,AM99,AM102:AM105,AM107,AM109)</f>
        <v>14860659.897642713</v>
      </c>
      <c r="AN110" s="73">
        <f>SUM(AN58:AN62,AN65:AN92,AN95:AN96,AN99,AN102:AN105,AN107,AN109)</f>
        <v>10882425.085722122</v>
      </c>
      <c r="AO110" s="2"/>
      <c r="AP110" s="98"/>
      <c r="AQ110" s="98"/>
    </row>
    <row r="112" spans="42:43" ht="12.75">
      <c r="AP112" s="98"/>
      <c r="AQ112" s="98"/>
    </row>
    <row r="113" spans="42:43" ht="12.75">
      <c r="AP113" s="100"/>
      <c r="AQ113" s="100"/>
    </row>
    <row r="114" spans="39:43" ht="12.75">
      <c r="AM114" s="98"/>
      <c r="AN114" s="98"/>
      <c r="AP114" s="99"/>
      <c r="AQ114" s="99"/>
    </row>
  </sheetData>
  <sheetProtection/>
  <mergeCells count="49">
    <mergeCell ref="A110:AL110"/>
    <mergeCell ref="A106:AL106"/>
    <mergeCell ref="H1:H2"/>
    <mergeCell ref="A18:AL18"/>
    <mergeCell ref="L1:L2"/>
    <mergeCell ref="A56:AL56"/>
    <mergeCell ref="J1:J2"/>
    <mergeCell ref="AC1:AC2"/>
    <mergeCell ref="W1:W2"/>
    <mergeCell ref="A55:AL55"/>
    <mergeCell ref="T1:T2"/>
    <mergeCell ref="R1:R2"/>
    <mergeCell ref="S1:S2"/>
    <mergeCell ref="I1:I2"/>
    <mergeCell ref="A57:AL57"/>
    <mergeCell ref="AL1:AL2"/>
    <mergeCell ref="AA1:AA2"/>
    <mergeCell ref="A54:AL54"/>
    <mergeCell ref="D1:D2"/>
    <mergeCell ref="AI1:AI2"/>
    <mergeCell ref="A109:AL109"/>
    <mergeCell ref="M1:M2"/>
    <mergeCell ref="AH1:AH2"/>
    <mergeCell ref="AJ1:AJ2"/>
    <mergeCell ref="AK1:AK2"/>
    <mergeCell ref="A108:AL108"/>
    <mergeCell ref="F1:F2"/>
    <mergeCell ref="A9:AL9"/>
    <mergeCell ref="A107:AL107"/>
    <mergeCell ref="AB1:AB2"/>
    <mergeCell ref="G1:G2"/>
    <mergeCell ref="E1:E2"/>
    <mergeCell ref="AO1:AO2"/>
    <mergeCell ref="AD1:AD2"/>
    <mergeCell ref="AE1:AE2"/>
    <mergeCell ref="AF1:AF2"/>
    <mergeCell ref="AG1:AG2"/>
    <mergeCell ref="AN1:AN2"/>
    <mergeCell ref="AM1:AM2"/>
    <mergeCell ref="A19:AL19"/>
    <mergeCell ref="Z1:Z2"/>
    <mergeCell ref="N1:Q1"/>
    <mergeCell ref="A8:AL8"/>
    <mergeCell ref="B1:B2"/>
    <mergeCell ref="C1:C2"/>
    <mergeCell ref="X1:Y1"/>
    <mergeCell ref="A1:A2"/>
    <mergeCell ref="U1:V1"/>
    <mergeCell ref="K1:K2"/>
  </mergeCells>
  <printOptions/>
  <pageMargins left="0.7" right="0.7" top="0.75" bottom="0.75" header="0.3" footer="0.3"/>
  <pageSetup horizontalDpi="1200" verticalDpi="1200" orientation="portrait" r:id="rId3"/>
  <ignoredErrors>
    <ignoredError sqref="AM31:AN31 AM36:AN36 AM92:AN92 AM99:AN99 AM62:AN62" formula="1"/>
  </ignoredErrors>
  <legacyDrawing r:id="rId2"/>
</worksheet>
</file>

<file path=xl/worksheets/sheet4.xml><?xml version="1.0" encoding="utf-8"?>
<worksheet xmlns="http://schemas.openxmlformats.org/spreadsheetml/2006/main" xmlns:r="http://schemas.openxmlformats.org/officeDocument/2006/relationships">
  <dimension ref="A1:AQ202"/>
  <sheetViews>
    <sheetView zoomScale="70" zoomScaleNormal="70" zoomScalePageLayoutView="0" workbookViewId="0" topLeftCell="A1">
      <pane xSplit="5" ySplit="2" topLeftCell="H202" activePane="bottomRight" state="frozen"/>
      <selection pane="topLeft" activeCell="A1" sqref="A1"/>
      <selection pane="topRight" activeCell="F1" sqref="F1"/>
      <selection pane="bottomLeft" activeCell="A3" sqref="A3"/>
      <selection pane="bottomRight" activeCell="N193" sqref="N193:N200"/>
    </sheetView>
  </sheetViews>
  <sheetFormatPr defaultColWidth="11.421875" defaultRowHeight="15"/>
  <cols>
    <col min="1" max="1" width="6.28125" style="32" bestFit="1" customWidth="1"/>
    <col min="2" max="2" width="12.421875" style="32" bestFit="1" customWidth="1"/>
    <col min="3" max="3" width="18.140625" style="32" bestFit="1" customWidth="1"/>
    <col min="4" max="4" width="23.8515625" style="32" bestFit="1" customWidth="1"/>
    <col min="5" max="5" width="21.8515625" style="32" bestFit="1" customWidth="1"/>
    <col min="6" max="6" width="34.00390625" style="32" customWidth="1"/>
    <col min="7" max="7" width="11.8515625" style="32" customWidth="1"/>
    <col min="8" max="8" width="11.7109375" style="32" customWidth="1"/>
    <col min="9" max="9" width="19.7109375" style="32" customWidth="1"/>
    <col min="10" max="10" width="17.421875" style="32" customWidth="1"/>
    <col min="11" max="11" width="15.421875" style="32" customWidth="1"/>
    <col min="12" max="12" width="16.140625" style="32" customWidth="1"/>
    <col min="13" max="13" width="20.28125" style="32" customWidth="1"/>
    <col min="14" max="14" width="6.7109375" style="32" customWidth="1"/>
    <col min="15" max="15" width="9.57421875" style="32" customWidth="1"/>
    <col min="16" max="16" width="8.7109375" style="32" customWidth="1"/>
    <col min="17" max="17" width="10.28125" style="32" customWidth="1"/>
    <col min="18" max="18" width="15.57421875" style="32" customWidth="1"/>
    <col min="19" max="19" width="7.8515625" style="32" customWidth="1"/>
    <col min="20" max="20" width="20.140625" style="32" customWidth="1"/>
    <col min="21" max="21" width="12.7109375" style="32" customWidth="1"/>
    <col min="22" max="22" width="13.7109375" style="32" customWidth="1"/>
    <col min="23" max="23" width="8.8515625" style="32" bestFit="1" customWidth="1"/>
    <col min="24" max="25" width="11.421875" style="32" customWidth="1"/>
    <col min="26" max="26" width="61.28125" style="32" customWidth="1"/>
    <col min="27" max="27" width="18.28125" style="32" customWidth="1"/>
    <col min="28" max="28" width="16.28125" style="32" bestFit="1" customWidth="1"/>
    <col min="29" max="38" width="11.421875" style="32" customWidth="1"/>
    <col min="39" max="39" width="15.8515625" style="32" customWidth="1"/>
    <col min="40" max="40" width="22.8515625" style="32" customWidth="1"/>
    <col min="41" max="16384" width="11.421875" style="32" customWidth="1"/>
  </cols>
  <sheetData>
    <row r="1" spans="1:41" ht="15" customHeight="1">
      <c r="A1" s="217" t="s">
        <v>0</v>
      </c>
      <c r="B1" s="217" t="s">
        <v>2307</v>
      </c>
      <c r="C1" s="217" t="s">
        <v>84</v>
      </c>
      <c r="D1" s="217" t="s">
        <v>85</v>
      </c>
      <c r="E1" s="217" t="s">
        <v>2416</v>
      </c>
      <c r="F1" s="217" t="s">
        <v>87</v>
      </c>
      <c r="G1" s="217" t="s">
        <v>2417</v>
      </c>
      <c r="H1" s="217" t="s">
        <v>2418</v>
      </c>
      <c r="I1" s="217" t="s">
        <v>2419</v>
      </c>
      <c r="J1" s="223" t="s">
        <v>2420</v>
      </c>
      <c r="K1" s="217" t="s">
        <v>2421</v>
      </c>
      <c r="L1" s="217" t="s">
        <v>2422</v>
      </c>
      <c r="M1" s="217" t="s">
        <v>2423</v>
      </c>
      <c r="N1" s="217" t="s">
        <v>2424</v>
      </c>
      <c r="O1" s="217"/>
      <c r="P1" s="217"/>
      <c r="Q1" s="217"/>
      <c r="R1" s="217" t="s">
        <v>2429</v>
      </c>
      <c r="S1" s="217" t="s">
        <v>2430</v>
      </c>
      <c r="T1" s="217" t="s">
        <v>2431</v>
      </c>
      <c r="U1" s="218" t="s">
        <v>1</v>
      </c>
      <c r="V1" s="219"/>
      <c r="W1" s="217" t="s">
        <v>2432</v>
      </c>
      <c r="X1" s="217" t="s">
        <v>2433</v>
      </c>
      <c r="Y1" s="217"/>
      <c r="Z1" s="217" t="s">
        <v>2401</v>
      </c>
      <c r="AA1" s="217" t="s">
        <v>2402</v>
      </c>
      <c r="AB1" s="217" t="s">
        <v>2403</v>
      </c>
      <c r="AC1" s="217" t="s">
        <v>2386</v>
      </c>
      <c r="AD1" s="217" t="s">
        <v>2387</v>
      </c>
      <c r="AE1" s="217" t="s">
        <v>2388</v>
      </c>
      <c r="AF1" s="217" t="s">
        <v>2389</v>
      </c>
      <c r="AG1" s="217" t="s">
        <v>2390</v>
      </c>
      <c r="AH1" s="217" t="s">
        <v>2391</v>
      </c>
      <c r="AI1" s="217" t="s">
        <v>2392</v>
      </c>
      <c r="AJ1" s="217" t="s">
        <v>2393</v>
      </c>
      <c r="AK1" s="217" t="s">
        <v>2394</v>
      </c>
      <c r="AL1" s="217" t="s">
        <v>2395</v>
      </c>
      <c r="AM1" s="220" t="s">
        <v>2396</v>
      </c>
      <c r="AN1" s="220" t="s">
        <v>2397</v>
      </c>
      <c r="AO1" s="217" t="s">
        <v>2398</v>
      </c>
    </row>
    <row r="2" spans="1:41" ht="25.5">
      <c r="A2" s="217"/>
      <c r="B2" s="217"/>
      <c r="C2" s="217"/>
      <c r="D2" s="217"/>
      <c r="E2" s="217"/>
      <c r="F2" s="217"/>
      <c r="G2" s="217"/>
      <c r="H2" s="217"/>
      <c r="I2" s="217"/>
      <c r="J2" s="223"/>
      <c r="K2" s="217"/>
      <c r="L2" s="217"/>
      <c r="M2" s="217"/>
      <c r="N2" s="61" t="s">
        <v>2425</v>
      </c>
      <c r="O2" s="61" t="s">
        <v>2426</v>
      </c>
      <c r="P2" s="61" t="s">
        <v>2427</v>
      </c>
      <c r="Q2" s="61" t="s">
        <v>2428</v>
      </c>
      <c r="R2" s="217"/>
      <c r="S2" s="217"/>
      <c r="T2" s="217"/>
      <c r="U2" s="61" t="s">
        <v>2399</v>
      </c>
      <c r="V2" s="61" t="s">
        <v>2400</v>
      </c>
      <c r="W2" s="221"/>
      <c r="X2" s="74" t="s">
        <v>2434</v>
      </c>
      <c r="Y2" s="74" t="s">
        <v>2435</v>
      </c>
      <c r="Z2" s="221"/>
      <c r="AA2" s="221"/>
      <c r="AB2" s="221"/>
      <c r="AC2" s="221"/>
      <c r="AD2" s="221"/>
      <c r="AE2" s="221"/>
      <c r="AF2" s="221"/>
      <c r="AG2" s="221"/>
      <c r="AH2" s="221"/>
      <c r="AI2" s="221"/>
      <c r="AJ2" s="221"/>
      <c r="AK2" s="221"/>
      <c r="AL2" s="221"/>
      <c r="AM2" s="228"/>
      <c r="AN2" s="228"/>
      <c r="AO2" s="221"/>
    </row>
    <row r="3" spans="1:41" ht="25.5">
      <c r="A3" s="1">
        <v>1</v>
      </c>
      <c r="B3" s="1" t="s">
        <v>2296</v>
      </c>
      <c r="C3" s="1" t="s">
        <v>4</v>
      </c>
      <c r="D3" s="1">
        <v>1</v>
      </c>
      <c r="E3" s="14" t="s">
        <v>2281</v>
      </c>
      <c r="F3" s="9" t="s">
        <v>2289</v>
      </c>
      <c r="G3" s="9" t="s">
        <v>2449</v>
      </c>
      <c r="H3" s="1" t="s">
        <v>4166</v>
      </c>
      <c r="I3" s="1" t="s">
        <v>4127</v>
      </c>
      <c r="J3" s="63">
        <v>29104391</v>
      </c>
      <c r="K3" s="1" t="s">
        <v>2438</v>
      </c>
      <c r="L3" s="1">
        <v>3447000</v>
      </c>
      <c r="M3" s="1" t="s">
        <v>3735</v>
      </c>
      <c r="N3" s="1" t="s">
        <v>4181</v>
      </c>
      <c r="O3" s="1">
        <v>3428</v>
      </c>
      <c r="P3" s="64">
        <v>43073</v>
      </c>
      <c r="Q3" s="64">
        <v>46724</v>
      </c>
      <c r="R3" s="62" t="s">
        <v>2440</v>
      </c>
      <c r="S3" s="1" t="s">
        <v>2442</v>
      </c>
      <c r="T3" s="9" t="s">
        <v>2444</v>
      </c>
      <c r="U3" s="9" t="s">
        <v>2299</v>
      </c>
      <c r="V3" s="9" t="s">
        <v>2690</v>
      </c>
      <c r="W3" s="9">
        <v>2675</v>
      </c>
      <c r="X3" s="60">
        <v>104104.3</v>
      </c>
      <c r="Y3" s="60">
        <v>101976.06</v>
      </c>
      <c r="Z3" s="2" t="s">
        <v>3741</v>
      </c>
      <c r="AA3" s="46"/>
      <c r="AB3" s="46"/>
      <c r="AC3" s="46"/>
      <c r="AD3" s="46"/>
      <c r="AE3" s="46"/>
      <c r="AF3" s="46"/>
      <c r="AG3" s="43"/>
      <c r="AH3" s="43"/>
      <c r="AI3" s="2"/>
      <c r="AJ3" s="1"/>
      <c r="AK3" s="46"/>
      <c r="AL3" s="46"/>
      <c r="AM3" s="44">
        <f>AG3*AI3*AJ3*AK3</f>
        <v>0</v>
      </c>
      <c r="AN3" s="45">
        <f>AH3*AI3*AJ3*AL3</f>
        <v>0</v>
      </c>
      <c r="AO3" s="46"/>
    </row>
    <row r="4" spans="1:41" ht="12.75">
      <c r="A4" s="1">
        <v>2</v>
      </c>
      <c r="B4" s="1" t="s">
        <v>2297</v>
      </c>
      <c r="C4" s="1" t="s">
        <v>4</v>
      </c>
      <c r="D4" s="1">
        <v>1</v>
      </c>
      <c r="E4" s="14" t="s">
        <v>2282</v>
      </c>
      <c r="F4" s="9" t="s">
        <v>2290</v>
      </c>
      <c r="G4" s="9" t="s">
        <v>2449</v>
      </c>
      <c r="H4" s="1" t="s">
        <v>4166</v>
      </c>
      <c r="I4" s="1" t="s">
        <v>4127</v>
      </c>
      <c r="J4" s="63">
        <v>29104391</v>
      </c>
      <c r="K4" s="1" t="s">
        <v>2438</v>
      </c>
      <c r="L4" s="1">
        <v>3447000</v>
      </c>
      <c r="M4" s="1" t="s">
        <v>3735</v>
      </c>
      <c r="N4" s="1" t="s">
        <v>4181</v>
      </c>
      <c r="O4" s="1">
        <v>3428</v>
      </c>
      <c r="P4" s="64">
        <v>43073</v>
      </c>
      <c r="Q4" s="64">
        <v>46724</v>
      </c>
      <c r="R4" s="62" t="s">
        <v>2440</v>
      </c>
      <c r="S4" s="1" t="s">
        <v>2442</v>
      </c>
      <c r="T4" s="9" t="s">
        <v>2443</v>
      </c>
      <c r="U4" s="9" t="s">
        <v>2300</v>
      </c>
      <c r="V4" s="9" t="s">
        <v>2691</v>
      </c>
      <c r="W4" s="9">
        <v>2643</v>
      </c>
      <c r="X4" s="60">
        <v>103970.61</v>
      </c>
      <c r="Y4" s="60">
        <v>101833.62</v>
      </c>
      <c r="Z4" s="2" t="s">
        <v>3741</v>
      </c>
      <c r="AA4" s="46"/>
      <c r="AB4" s="46"/>
      <c r="AC4" s="46"/>
      <c r="AD4" s="46"/>
      <c r="AE4" s="46"/>
      <c r="AF4" s="46"/>
      <c r="AG4" s="43"/>
      <c r="AH4" s="43"/>
      <c r="AI4" s="2"/>
      <c r="AJ4" s="1"/>
      <c r="AK4" s="46"/>
      <c r="AL4" s="46"/>
      <c r="AM4" s="44">
        <f aca="true" t="shared" si="0" ref="AM4:AM77">AG4*AI4*AJ4*AK4</f>
        <v>0</v>
      </c>
      <c r="AN4" s="45">
        <f aca="true" t="shared" si="1" ref="AN4:AN77">AH4*AI4*AJ4*AL4</f>
        <v>0</v>
      </c>
      <c r="AO4" s="46"/>
    </row>
    <row r="5" spans="1:41" ht="12.75">
      <c r="A5" s="1">
        <v>3</v>
      </c>
      <c r="B5" s="1" t="s">
        <v>2297</v>
      </c>
      <c r="C5" s="1" t="s">
        <v>4</v>
      </c>
      <c r="D5" s="1">
        <v>1</v>
      </c>
      <c r="E5" s="14" t="s">
        <v>2283</v>
      </c>
      <c r="F5" s="9" t="s">
        <v>2290</v>
      </c>
      <c r="G5" s="9" t="s">
        <v>2449</v>
      </c>
      <c r="H5" s="1" t="s">
        <v>4166</v>
      </c>
      <c r="I5" s="1" t="s">
        <v>4127</v>
      </c>
      <c r="J5" s="63">
        <v>29104391</v>
      </c>
      <c r="K5" s="1" t="s">
        <v>2438</v>
      </c>
      <c r="L5" s="1">
        <v>3447000</v>
      </c>
      <c r="M5" s="1" t="s">
        <v>3735</v>
      </c>
      <c r="N5" s="1" t="s">
        <v>4181</v>
      </c>
      <c r="O5" s="1">
        <v>3428</v>
      </c>
      <c r="P5" s="64">
        <v>43073</v>
      </c>
      <c r="Q5" s="64">
        <v>46724</v>
      </c>
      <c r="R5" s="62" t="s">
        <v>2440</v>
      </c>
      <c r="S5" s="1" t="s">
        <v>2442</v>
      </c>
      <c r="T5" s="9" t="s">
        <v>2443</v>
      </c>
      <c r="U5" s="9" t="s">
        <v>2301</v>
      </c>
      <c r="V5" s="9" t="s">
        <v>2692</v>
      </c>
      <c r="W5" s="9">
        <v>2642</v>
      </c>
      <c r="X5" s="60">
        <v>103937.42</v>
      </c>
      <c r="Y5" s="60">
        <v>101827.77</v>
      </c>
      <c r="Z5" s="2" t="s">
        <v>3741</v>
      </c>
      <c r="AA5" s="46"/>
      <c r="AB5" s="46"/>
      <c r="AC5" s="46"/>
      <c r="AD5" s="46"/>
      <c r="AE5" s="46"/>
      <c r="AF5" s="46"/>
      <c r="AG5" s="43"/>
      <c r="AH5" s="43"/>
      <c r="AI5" s="2"/>
      <c r="AJ5" s="1"/>
      <c r="AK5" s="46"/>
      <c r="AL5" s="46"/>
      <c r="AM5" s="44">
        <f t="shared" si="0"/>
        <v>0</v>
      </c>
      <c r="AN5" s="45">
        <f t="shared" si="1"/>
        <v>0</v>
      </c>
      <c r="AO5" s="46"/>
    </row>
    <row r="6" spans="1:41" ht="25.5">
      <c r="A6" s="1">
        <v>4</v>
      </c>
      <c r="B6" s="1" t="s">
        <v>2297</v>
      </c>
      <c r="C6" s="1" t="s">
        <v>4</v>
      </c>
      <c r="D6" s="1">
        <v>1</v>
      </c>
      <c r="E6" s="14" t="s">
        <v>2284</v>
      </c>
      <c r="F6" s="9" t="s">
        <v>2291</v>
      </c>
      <c r="G6" s="9" t="s">
        <v>2449</v>
      </c>
      <c r="H6" s="1" t="s">
        <v>4166</v>
      </c>
      <c r="I6" s="1" t="s">
        <v>4127</v>
      </c>
      <c r="J6" s="63">
        <v>29104391</v>
      </c>
      <c r="K6" s="1" t="s">
        <v>2438</v>
      </c>
      <c r="L6" s="1">
        <v>3447000</v>
      </c>
      <c r="M6" s="1" t="s">
        <v>3735</v>
      </c>
      <c r="N6" s="1" t="s">
        <v>4181</v>
      </c>
      <c r="O6" s="1">
        <v>3428</v>
      </c>
      <c r="P6" s="64">
        <v>43073</v>
      </c>
      <c r="Q6" s="64">
        <v>46724</v>
      </c>
      <c r="R6" s="62" t="s">
        <v>2440</v>
      </c>
      <c r="S6" s="29" t="s">
        <v>2441</v>
      </c>
      <c r="T6" s="1" t="s">
        <v>2444</v>
      </c>
      <c r="U6" s="9" t="s">
        <v>2302</v>
      </c>
      <c r="V6" s="9" t="s">
        <v>2693</v>
      </c>
      <c r="W6" s="9">
        <v>2642</v>
      </c>
      <c r="X6" s="60">
        <v>103754.579</v>
      </c>
      <c r="Y6" s="60">
        <v>101751.015</v>
      </c>
      <c r="Z6" s="2" t="s">
        <v>3741</v>
      </c>
      <c r="AA6" s="46"/>
      <c r="AB6" s="46"/>
      <c r="AC6" s="46"/>
      <c r="AD6" s="46"/>
      <c r="AE6" s="46"/>
      <c r="AF6" s="46"/>
      <c r="AG6" s="43"/>
      <c r="AH6" s="43"/>
      <c r="AI6" s="2"/>
      <c r="AJ6" s="1"/>
      <c r="AK6" s="46"/>
      <c r="AL6" s="46"/>
      <c r="AM6" s="44">
        <f t="shared" si="0"/>
        <v>0</v>
      </c>
      <c r="AN6" s="45">
        <f t="shared" si="1"/>
        <v>0</v>
      </c>
      <c r="AO6" s="46"/>
    </row>
    <row r="7" spans="1:41" ht="12.75">
      <c r="A7" s="1">
        <v>5</v>
      </c>
      <c r="B7" s="1" t="s">
        <v>2298</v>
      </c>
      <c r="C7" s="1" t="s">
        <v>4</v>
      </c>
      <c r="D7" s="1">
        <v>1</v>
      </c>
      <c r="E7" s="14" t="s">
        <v>2285</v>
      </c>
      <c r="F7" s="9" t="s">
        <v>2292</v>
      </c>
      <c r="G7" s="9" t="s">
        <v>2449</v>
      </c>
      <c r="H7" s="1" t="s">
        <v>4166</v>
      </c>
      <c r="I7" s="1" t="s">
        <v>4127</v>
      </c>
      <c r="J7" s="63">
        <v>29104391</v>
      </c>
      <c r="K7" s="1" t="s">
        <v>2438</v>
      </c>
      <c r="L7" s="1">
        <v>3447000</v>
      </c>
      <c r="M7" s="1" t="s">
        <v>3735</v>
      </c>
      <c r="N7" s="1" t="s">
        <v>4181</v>
      </c>
      <c r="O7" s="1">
        <v>3428</v>
      </c>
      <c r="P7" s="64">
        <v>43073</v>
      </c>
      <c r="Q7" s="64">
        <v>46724</v>
      </c>
      <c r="R7" s="62" t="s">
        <v>2440</v>
      </c>
      <c r="S7" s="30" t="s">
        <v>2436</v>
      </c>
      <c r="T7" s="1" t="s">
        <v>2480</v>
      </c>
      <c r="U7" s="9" t="s">
        <v>2303</v>
      </c>
      <c r="V7" s="9" t="s">
        <v>2694</v>
      </c>
      <c r="W7" s="9">
        <v>2675</v>
      </c>
      <c r="X7" s="60">
        <v>104585.585</v>
      </c>
      <c r="Y7" s="60">
        <v>102396.268</v>
      </c>
      <c r="Z7" s="2" t="s">
        <v>3741</v>
      </c>
      <c r="AA7" s="46"/>
      <c r="AB7" s="46"/>
      <c r="AC7" s="46"/>
      <c r="AD7" s="46"/>
      <c r="AE7" s="46"/>
      <c r="AF7" s="46"/>
      <c r="AG7" s="43"/>
      <c r="AH7" s="43"/>
      <c r="AI7" s="2"/>
      <c r="AJ7" s="1"/>
      <c r="AK7" s="46"/>
      <c r="AL7" s="46"/>
      <c r="AM7" s="44">
        <f t="shared" si="0"/>
        <v>0</v>
      </c>
      <c r="AN7" s="45">
        <f t="shared" si="1"/>
        <v>0</v>
      </c>
      <c r="AO7" s="46"/>
    </row>
    <row r="8" spans="1:41" ht="12.75">
      <c r="A8" s="1">
        <v>6</v>
      </c>
      <c r="B8" s="1" t="s">
        <v>2298</v>
      </c>
      <c r="C8" s="1" t="s">
        <v>4</v>
      </c>
      <c r="D8" s="1">
        <v>1</v>
      </c>
      <c r="E8" s="14" t="s">
        <v>2286</v>
      </c>
      <c r="F8" s="9" t="s">
        <v>2293</v>
      </c>
      <c r="G8" s="9" t="s">
        <v>2449</v>
      </c>
      <c r="H8" s="1" t="s">
        <v>4166</v>
      </c>
      <c r="I8" s="1" t="s">
        <v>4127</v>
      </c>
      <c r="J8" s="63">
        <v>29104391</v>
      </c>
      <c r="K8" s="1" t="s">
        <v>2438</v>
      </c>
      <c r="L8" s="1">
        <v>3447000</v>
      </c>
      <c r="M8" s="1" t="s">
        <v>3735</v>
      </c>
      <c r="N8" s="1" t="s">
        <v>4181</v>
      </c>
      <c r="O8" s="1">
        <v>3428</v>
      </c>
      <c r="P8" s="64">
        <v>43073</v>
      </c>
      <c r="Q8" s="64">
        <v>46724</v>
      </c>
      <c r="R8" s="62" t="s">
        <v>2440</v>
      </c>
      <c r="S8" s="1" t="s">
        <v>2442</v>
      </c>
      <c r="T8" s="9" t="s">
        <v>2444</v>
      </c>
      <c r="U8" s="9" t="s">
        <v>2304</v>
      </c>
      <c r="V8" s="9" t="s">
        <v>2695</v>
      </c>
      <c r="W8" s="9">
        <v>2720</v>
      </c>
      <c r="X8" s="60">
        <v>103939.31</v>
      </c>
      <c r="Y8" s="60">
        <v>102151.52</v>
      </c>
      <c r="Z8" s="2" t="s">
        <v>3741</v>
      </c>
      <c r="AA8" s="46"/>
      <c r="AB8" s="46"/>
      <c r="AC8" s="46"/>
      <c r="AD8" s="46"/>
      <c r="AE8" s="46"/>
      <c r="AF8" s="46"/>
      <c r="AG8" s="43"/>
      <c r="AH8" s="43"/>
      <c r="AI8" s="2"/>
      <c r="AJ8" s="1"/>
      <c r="AK8" s="46"/>
      <c r="AL8" s="46"/>
      <c r="AM8" s="44">
        <f t="shared" si="0"/>
        <v>0</v>
      </c>
      <c r="AN8" s="45">
        <f t="shared" si="1"/>
        <v>0</v>
      </c>
      <c r="AO8" s="46"/>
    </row>
    <row r="9" spans="1:41" ht="12.75">
      <c r="A9" s="1">
        <v>7</v>
      </c>
      <c r="B9" s="1" t="s">
        <v>2298</v>
      </c>
      <c r="C9" s="1" t="s">
        <v>4</v>
      </c>
      <c r="D9" s="1">
        <v>1</v>
      </c>
      <c r="E9" s="14" t="s">
        <v>2287</v>
      </c>
      <c r="F9" s="9" t="s">
        <v>2294</v>
      </c>
      <c r="G9" s="9" t="s">
        <v>2449</v>
      </c>
      <c r="H9" s="1" t="s">
        <v>4166</v>
      </c>
      <c r="I9" s="1" t="s">
        <v>4127</v>
      </c>
      <c r="J9" s="63">
        <v>29104391</v>
      </c>
      <c r="K9" s="1" t="s">
        <v>2438</v>
      </c>
      <c r="L9" s="1">
        <v>3447000</v>
      </c>
      <c r="M9" s="1" t="s">
        <v>3735</v>
      </c>
      <c r="N9" s="1" t="s">
        <v>4181</v>
      </c>
      <c r="O9" s="1">
        <v>3428</v>
      </c>
      <c r="P9" s="64">
        <v>43073</v>
      </c>
      <c r="Q9" s="64">
        <v>46724</v>
      </c>
      <c r="R9" s="62" t="s">
        <v>2440</v>
      </c>
      <c r="S9" s="1" t="s">
        <v>2442</v>
      </c>
      <c r="T9" s="9" t="s">
        <v>2443</v>
      </c>
      <c r="U9" s="9" t="s">
        <v>2305</v>
      </c>
      <c r="V9" s="9" t="s">
        <v>2696</v>
      </c>
      <c r="W9" s="9">
        <v>2725</v>
      </c>
      <c r="X9" s="60">
        <v>103909.5</v>
      </c>
      <c r="Y9" s="60">
        <v>102165.71</v>
      </c>
      <c r="Z9" s="2" t="s">
        <v>3741</v>
      </c>
      <c r="AA9" s="46"/>
      <c r="AB9" s="46"/>
      <c r="AC9" s="46"/>
      <c r="AD9" s="46"/>
      <c r="AE9" s="46"/>
      <c r="AF9" s="46"/>
      <c r="AG9" s="43"/>
      <c r="AH9" s="43"/>
      <c r="AI9" s="2"/>
      <c r="AJ9" s="1"/>
      <c r="AK9" s="46"/>
      <c r="AL9" s="46"/>
      <c r="AM9" s="44">
        <f t="shared" si="0"/>
        <v>0</v>
      </c>
      <c r="AN9" s="45">
        <f t="shared" si="1"/>
        <v>0</v>
      </c>
      <c r="AO9" s="46"/>
    </row>
    <row r="10" spans="1:41" ht="12.75">
      <c r="A10" s="1">
        <v>8</v>
      </c>
      <c r="B10" s="1" t="s">
        <v>2298</v>
      </c>
      <c r="C10" s="1" t="s">
        <v>4</v>
      </c>
      <c r="D10" s="1">
        <v>1</v>
      </c>
      <c r="E10" s="14" t="s">
        <v>2288</v>
      </c>
      <c r="F10" s="9" t="s">
        <v>2295</v>
      </c>
      <c r="G10" s="9" t="s">
        <v>2449</v>
      </c>
      <c r="H10" s="1" t="s">
        <v>4166</v>
      </c>
      <c r="I10" s="1" t="s">
        <v>4127</v>
      </c>
      <c r="J10" s="63">
        <v>29104391</v>
      </c>
      <c r="K10" s="1" t="s">
        <v>2438</v>
      </c>
      <c r="L10" s="1">
        <v>3447000</v>
      </c>
      <c r="M10" s="1" t="s">
        <v>3735</v>
      </c>
      <c r="N10" s="1" t="s">
        <v>4181</v>
      </c>
      <c r="O10" s="1">
        <v>3428</v>
      </c>
      <c r="P10" s="64">
        <v>43073</v>
      </c>
      <c r="Q10" s="64">
        <v>46724</v>
      </c>
      <c r="R10" s="62" t="s">
        <v>2440</v>
      </c>
      <c r="S10" s="1" t="s">
        <v>2442</v>
      </c>
      <c r="T10" s="9" t="s">
        <v>2444</v>
      </c>
      <c r="U10" s="9" t="s">
        <v>2306</v>
      </c>
      <c r="V10" s="9" t="s">
        <v>2697</v>
      </c>
      <c r="W10" s="9">
        <v>2641</v>
      </c>
      <c r="X10" s="60">
        <v>103259.21</v>
      </c>
      <c r="Y10" s="60">
        <v>101724.24</v>
      </c>
      <c r="Z10" s="2" t="s">
        <v>3741</v>
      </c>
      <c r="AA10" s="46"/>
      <c r="AB10" s="46"/>
      <c r="AC10" s="46"/>
      <c r="AD10" s="46"/>
      <c r="AE10" s="46"/>
      <c r="AF10" s="46"/>
      <c r="AG10" s="43"/>
      <c r="AH10" s="43"/>
      <c r="AI10" s="2"/>
      <c r="AJ10" s="1"/>
      <c r="AK10" s="46"/>
      <c r="AL10" s="46"/>
      <c r="AM10" s="44">
        <f t="shared" si="0"/>
        <v>0</v>
      </c>
      <c r="AN10" s="45">
        <f t="shared" si="1"/>
        <v>0</v>
      </c>
      <c r="AO10" s="46"/>
    </row>
    <row r="11" spans="1:41" ht="12.75">
      <c r="A11" s="215" t="s">
        <v>2414</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72"/>
      <c r="AN11" s="70"/>
      <c r="AO11" s="46"/>
    </row>
    <row r="12" spans="1:41" ht="12.75">
      <c r="A12" s="213" t="s">
        <v>2415</v>
      </c>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73">
        <f>SUM(AM3:AM10)</f>
        <v>0</v>
      </c>
      <c r="AN12" s="73">
        <f>SUM(AN3:AN10)</f>
        <v>0</v>
      </c>
      <c r="AO12" s="46"/>
    </row>
    <row r="13" spans="1:41" ht="12.75">
      <c r="A13" s="1">
        <v>9</v>
      </c>
      <c r="B13" s="1" t="s">
        <v>64</v>
      </c>
      <c r="C13" s="1" t="s">
        <v>4</v>
      </c>
      <c r="D13" s="1">
        <v>3</v>
      </c>
      <c r="E13" s="14" t="s">
        <v>1093</v>
      </c>
      <c r="F13" s="9" t="s">
        <v>1123</v>
      </c>
      <c r="G13" s="9" t="s">
        <v>2449</v>
      </c>
      <c r="H13" s="1" t="s">
        <v>4166</v>
      </c>
      <c r="I13" s="1" t="s">
        <v>4127</v>
      </c>
      <c r="J13" s="63">
        <v>29104391</v>
      </c>
      <c r="K13" s="1" t="s">
        <v>2438</v>
      </c>
      <c r="L13" s="1">
        <v>3447000</v>
      </c>
      <c r="M13" s="1" t="s">
        <v>3735</v>
      </c>
      <c r="N13" s="1" t="s">
        <v>4181</v>
      </c>
      <c r="O13" s="1">
        <v>3428</v>
      </c>
      <c r="P13" s="64">
        <v>43073</v>
      </c>
      <c r="Q13" s="64">
        <v>46724</v>
      </c>
      <c r="R13" s="62" t="s">
        <v>2440</v>
      </c>
      <c r="S13" s="29" t="s">
        <v>2441</v>
      </c>
      <c r="T13" s="9" t="s">
        <v>2444</v>
      </c>
      <c r="U13" s="9" t="s">
        <v>1108</v>
      </c>
      <c r="V13" s="9" t="s">
        <v>2698</v>
      </c>
      <c r="W13" s="9">
        <v>2588</v>
      </c>
      <c r="X13" s="60">
        <v>108045.66</v>
      </c>
      <c r="Y13" s="60">
        <v>103546.92</v>
      </c>
      <c r="Z13" s="2" t="s">
        <v>3741</v>
      </c>
      <c r="AA13" s="46"/>
      <c r="AB13" s="46"/>
      <c r="AC13" s="46"/>
      <c r="AD13" s="46"/>
      <c r="AE13" s="46"/>
      <c r="AF13" s="46"/>
      <c r="AG13" s="43"/>
      <c r="AH13" s="43"/>
      <c r="AI13" s="2"/>
      <c r="AJ13" s="1"/>
      <c r="AK13" s="46"/>
      <c r="AL13" s="46"/>
      <c r="AM13" s="44">
        <f t="shared" si="0"/>
        <v>0</v>
      </c>
      <c r="AN13" s="45">
        <f t="shared" si="1"/>
        <v>0</v>
      </c>
      <c r="AO13" s="46"/>
    </row>
    <row r="14" spans="1:41" ht="40.5" customHeight="1">
      <c r="A14" s="1">
        <v>10</v>
      </c>
      <c r="B14" s="1" t="s">
        <v>64</v>
      </c>
      <c r="C14" s="1" t="s">
        <v>4</v>
      </c>
      <c r="D14" s="1">
        <v>3</v>
      </c>
      <c r="E14" s="14" t="s">
        <v>1094</v>
      </c>
      <c r="F14" s="9" t="s">
        <v>1124</v>
      </c>
      <c r="G14" s="9" t="s">
        <v>2449</v>
      </c>
      <c r="H14" s="1" t="s">
        <v>4166</v>
      </c>
      <c r="I14" s="1" t="s">
        <v>4127</v>
      </c>
      <c r="J14" s="63">
        <v>29104391</v>
      </c>
      <c r="K14" s="1" t="s">
        <v>2438</v>
      </c>
      <c r="L14" s="1">
        <v>3447000</v>
      </c>
      <c r="M14" s="1" t="s">
        <v>3735</v>
      </c>
      <c r="N14" s="1" t="s">
        <v>4181</v>
      </c>
      <c r="O14" s="1">
        <v>3428</v>
      </c>
      <c r="P14" s="64">
        <v>43073</v>
      </c>
      <c r="Q14" s="64">
        <v>46724</v>
      </c>
      <c r="R14" s="62" t="s">
        <v>2440</v>
      </c>
      <c r="S14" s="29" t="s">
        <v>2441</v>
      </c>
      <c r="T14" s="9" t="s">
        <v>2444</v>
      </c>
      <c r="U14" s="9" t="s">
        <v>1109</v>
      </c>
      <c r="V14" s="9" t="s">
        <v>2699</v>
      </c>
      <c r="W14" s="9">
        <v>2576</v>
      </c>
      <c r="X14" s="60">
        <v>108097.3</v>
      </c>
      <c r="Y14" s="60">
        <v>103445.33</v>
      </c>
      <c r="Z14" s="2" t="s">
        <v>3947</v>
      </c>
      <c r="AA14" s="83">
        <v>43809</v>
      </c>
      <c r="AB14" s="13" t="s">
        <v>4141</v>
      </c>
      <c r="AC14" s="13">
        <v>42.4</v>
      </c>
      <c r="AD14" s="13">
        <v>74</v>
      </c>
      <c r="AE14" s="13">
        <v>40.8</v>
      </c>
      <c r="AF14" s="13">
        <v>24</v>
      </c>
      <c r="AG14" s="43">
        <f>AE14*AC14*AF14*0.0036</f>
        <v>149.46508799999998</v>
      </c>
      <c r="AH14" s="43">
        <f>AE14*AD14*AF14*0.0036</f>
        <v>260.85887999999994</v>
      </c>
      <c r="AI14" s="2">
        <v>30</v>
      </c>
      <c r="AJ14" s="1">
        <v>12</v>
      </c>
      <c r="AK14" s="13">
        <v>0.49</v>
      </c>
      <c r="AL14" s="13">
        <v>0.61</v>
      </c>
      <c r="AM14" s="44">
        <f t="shared" si="0"/>
        <v>26365.641523199996</v>
      </c>
      <c r="AN14" s="45">
        <f t="shared" si="1"/>
        <v>57284.61004799999</v>
      </c>
      <c r="AO14" s="13" t="s">
        <v>2455</v>
      </c>
    </row>
    <row r="15" spans="1:41" ht="39" customHeight="1">
      <c r="A15" s="1">
        <v>11</v>
      </c>
      <c r="B15" s="1" t="s">
        <v>64</v>
      </c>
      <c r="C15" s="1" t="s">
        <v>4</v>
      </c>
      <c r="D15" s="1">
        <v>3</v>
      </c>
      <c r="E15" s="14" t="s">
        <v>1095</v>
      </c>
      <c r="F15" s="9" t="s">
        <v>1125</v>
      </c>
      <c r="G15" s="9" t="s">
        <v>2449</v>
      </c>
      <c r="H15" s="1" t="s">
        <v>4166</v>
      </c>
      <c r="I15" s="1" t="s">
        <v>4127</v>
      </c>
      <c r="J15" s="63">
        <v>29104391</v>
      </c>
      <c r="K15" s="1" t="s">
        <v>2438</v>
      </c>
      <c r="L15" s="1">
        <v>3447000</v>
      </c>
      <c r="M15" s="1" t="s">
        <v>3735</v>
      </c>
      <c r="N15" s="1" t="s">
        <v>4181</v>
      </c>
      <c r="O15" s="1">
        <v>3428</v>
      </c>
      <c r="P15" s="64">
        <v>43073</v>
      </c>
      <c r="Q15" s="64">
        <v>46724</v>
      </c>
      <c r="R15" s="62" t="s">
        <v>2440</v>
      </c>
      <c r="S15" s="29" t="s">
        <v>2441</v>
      </c>
      <c r="T15" s="9" t="s">
        <v>2443</v>
      </c>
      <c r="U15" s="9" t="s">
        <v>1110</v>
      </c>
      <c r="V15" s="9" t="s">
        <v>2700</v>
      </c>
      <c r="W15" s="9">
        <v>2574</v>
      </c>
      <c r="X15" s="60">
        <v>108129.74</v>
      </c>
      <c r="Y15" s="60">
        <v>103377.68</v>
      </c>
      <c r="Z15" s="2" t="s">
        <v>3762</v>
      </c>
      <c r="AA15" s="47">
        <v>43768</v>
      </c>
      <c r="AB15" s="126">
        <v>0.4361111111111111</v>
      </c>
      <c r="AC15" s="46"/>
      <c r="AD15" s="46"/>
      <c r="AE15" s="46"/>
      <c r="AF15" s="46"/>
      <c r="AG15" s="43"/>
      <c r="AH15" s="43"/>
      <c r="AI15" s="2"/>
      <c r="AJ15" s="1"/>
      <c r="AK15" s="46"/>
      <c r="AL15" s="46"/>
      <c r="AM15" s="44">
        <f t="shared" si="0"/>
        <v>0</v>
      </c>
      <c r="AN15" s="45">
        <f t="shared" si="1"/>
        <v>0</v>
      </c>
      <c r="AO15" s="46"/>
    </row>
    <row r="16" spans="1:41" ht="12.75">
      <c r="A16" s="1">
        <v>12</v>
      </c>
      <c r="B16" s="1" t="s">
        <v>64</v>
      </c>
      <c r="C16" s="1" t="s">
        <v>4</v>
      </c>
      <c r="D16" s="1">
        <v>3</v>
      </c>
      <c r="E16" s="14" t="s">
        <v>1096</v>
      </c>
      <c r="F16" s="9" t="s">
        <v>1126</v>
      </c>
      <c r="G16" s="9" t="s">
        <v>2449</v>
      </c>
      <c r="H16" s="1" t="s">
        <v>4166</v>
      </c>
      <c r="I16" s="1" t="s">
        <v>4127</v>
      </c>
      <c r="J16" s="63">
        <v>29104391</v>
      </c>
      <c r="K16" s="1" t="s">
        <v>2438</v>
      </c>
      <c r="L16" s="1">
        <v>3447000</v>
      </c>
      <c r="M16" s="1" t="s">
        <v>3735</v>
      </c>
      <c r="N16" s="1" t="s">
        <v>4181</v>
      </c>
      <c r="O16" s="1">
        <v>3428</v>
      </c>
      <c r="P16" s="64">
        <v>43073</v>
      </c>
      <c r="Q16" s="64">
        <v>46724</v>
      </c>
      <c r="R16" s="62" t="s">
        <v>2440</v>
      </c>
      <c r="S16" s="1" t="s">
        <v>2442</v>
      </c>
      <c r="T16" s="9" t="s">
        <v>2443</v>
      </c>
      <c r="U16" s="9" t="s">
        <v>1111</v>
      </c>
      <c r="V16" s="9" t="s">
        <v>2701</v>
      </c>
      <c r="W16" s="9">
        <v>2573</v>
      </c>
      <c r="X16" s="60">
        <v>108146.85</v>
      </c>
      <c r="Y16" s="60">
        <v>103334.6</v>
      </c>
      <c r="Z16" s="2" t="s">
        <v>3741</v>
      </c>
      <c r="AA16" s="46"/>
      <c r="AB16" s="46"/>
      <c r="AC16" s="46"/>
      <c r="AD16" s="46"/>
      <c r="AE16" s="46"/>
      <c r="AF16" s="46"/>
      <c r="AG16" s="43"/>
      <c r="AH16" s="43"/>
      <c r="AI16" s="2"/>
      <c r="AJ16" s="1"/>
      <c r="AK16" s="46"/>
      <c r="AL16" s="46"/>
      <c r="AM16" s="44">
        <f t="shared" si="0"/>
        <v>0</v>
      </c>
      <c r="AN16" s="45">
        <f t="shared" si="1"/>
        <v>0</v>
      </c>
      <c r="AO16" s="46"/>
    </row>
    <row r="17" spans="1:41" ht="12.75">
      <c r="A17" s="1">
        <v>13</v>
      </c>
      <c r="B17" s="1" t="s">
        <v>64</v>
      </c>
      <c r="C17" s="1" t="s">
        <v>4</v>
      </c>
      <c r="D17" s="1">
        <v>3</v>
      </c>
      <c r="E17" s="14" t="s">
        <v>1097</v>
      </c>
      <c r="F17" s="9" t="s">
        <v>1127</v>
      </c>
      <c r="G17" s="9" t="s">
        <v>2449</v>
      </c>
      <c r="H17" s="1" t="s">
        <v>4166</v>
      </c>
      <c r="I17" s="1" t="s">
        <v>4127</v>
      </c>
      <c r="J17" s="63">
        <v>29104391</v>
      </c>
      <c r="K17" s="1" t="s">
        <v>2438</v>
      </c>
      <c r="L17" s="1">
        <v>3447000</v>
      </c>
      <c r="M17" s="1" t="s">
        <v>3735</v>
      </c>
      <c r="N17" s="1" t="s">
        <v>4181</v>
      </c>
      <c r="O17" s="1">
        <v>3428</v>
      </c>
      <c r="P17" s="64">
        <v>43073</v>
      </c>
      <c r="Q17" s="64">
        <v>46724</v>
      </c>
      <c r="R17" s="62" t="s">
        <v>2440</v>
      </c>
      <c r="S17" s="1" t="s">
        <v>2442</v>
      </c>
      <c r="T17" s="9" t="s">
        <v>2443</v>
      </c>
      <c r="U17" s="9" t="s">
        <v>1112</v>
      </c>
      <c r="V17" s="9" t="s">
        <v>2702</v>
      </c>
      <c r="W17" s="9">
        <v>2572</v>
      </c>
      <c r="X17" s="60">
        <v>108161.34</v>
      </c>
      <c r="Y17" s="60">
        <v>103304.76</v>
      </c>
      <c r="Z17" s="2" t="s">
        <v>3741</v>
      </c>
      <c r="AA17" s="46"/>
      <c r="AB17" s="46"/>
      <c r="AC17" s="46"/>
      <c r="AD17" s="46"/>
      <c r="AE17" s="46"/>
      <c r="AF17" s="46"/>
      <c r="AG17" s="43"/>
      <c r="AH17" s="43"/>
      <c r="AI17" s="2"/>
      <c r="AJ17" s="1"/>
      <c r="AK17" s="46"/>
      <c r="AL17" s="46"/>
      <c r="AM17" s="44">
        <f t="shared" si="0"/>
        <v>0</v>
      </c>
      <c r="AN17" s="45">
        <f t="shared" si="1"/>
        <v>0</v>
      </c>
      <c r="AO17" s="46"/>
    </row>
    <row r="18" spans="1:41" ht="45.75" customHeight="1">
      <c r="A18" s="1">
        <v>14</v>
      </c>
      <c r="B18" s="1" t="s">
        <v>64</v>
      </c>
      <c r="C18" s="1" t="s">
        <v>4</v>
      </c>
      <c r="D18" s="1">
        <v>3</v>
      </c>
      <c r="E18" s="14" t="s">
        <v>1098</v>
      </c>
      <c r="F18" s="9" t="s">
        <v>1128</v>
      </c>
      <c r="G18" s="9" t="s">
        <v>2449</v>
      </c>
      <c r="H18" s="1" t="s">
        <v>4166</v>
      </c>
      <c r="I18" s="1" t="s">
        <v>4127</v>
      </c>
      <c r="J18" s="63">
        <v>29104391</v>
      </c>
      <c r="K18" s="1" t="s">
        <v>2438</v>
      </c>
      <c r="L18" s="1">
        <v>3447000</v>
      </c>
      <c r="M18" s="1" t="s">
        <v>3735</v>
      </c>
      <c r="N18" s="1" t="s">
        <v>4181</v>
      </c>
      <c r="O18" s="1">
        <v>3428</v>
      </c>
      <c r="P18" s="64">
        <v>43073</v>
      </c>
      <c r="Q18" s="64">
        <v>46724</v>
      </c>
      <c r="R18" s="62" t="s">
        <v>2440</v>
      </c>
      <c r="S18" s="1" t="s">
        <v>2442</v>
      </c>
      <c r="T18" s="9" t="s">
        <v>2443</v>
      </c>
      <c r="U18" s="9" t="s">
        <v>1113</v>
      </c>
      <c r="V18" s="9" t="s">
        <v>2703</v>
      </c>
      <c r="W18" s="9">
        <v>2568</v>
      </c>
      <c r="X18" s="60">
        <v>108198.87</v>
      </c>
      <c r="Y18" s="60">
        <v>103225.44</v>
      </c>
      <c r="Z18" s="2" t="s">
        <v>3762</v>
      </c>
      <c r="AA18" s="47">
        <v>43768</v>
      </c>
      <c r="AB18" s="126">
        <v>0.4395833333333334</v>
      </c>
      <c r="AC18" s="46"/>
      <c r="AD18" s="46"/>
      <c r="AE18" s="46"/>
      <c r="AF18" s="46"/>
      <c r="AG18" s="43"/>
      <c r="AH18" s="43"/>
      <c r="AI18" s="2"/>
      <c r="AJ18" s="1"/>
      <c r="AK18" s="46"/>
      <c r="AL18" s="46"/>
      <c r="AM18" s="44">
        <f t="shared" si="0"/>
        <v>0</v>
      </c>
      <c r="AN18" s="45">
        <f t="shared" si="1"/>
        <v>0</v>
      </c>
      <c r="AO18" s="46"/>
    </row>
    <row r="19" spans="1:41" ht="12.75">
      <c r="A19" s="1">
        <v>15</v>
      </c>
      <c r="B19" s="1" t="s">
        <v>64</v>
      </c>
      <c r="C19" s="1" t="s">
        <v>4</v>
      </c>
      <c r="D19" s="1">
        <v>3</v>
      </c>
      <c r="E19" s="14" t="s">
        <v>1099</v>
      </c>
      <c r="F19" s="9" t="s">
        <v>1129</v>
      </c>
      <c r="G19" s="9" t="s">
        <v>2449</v>
      </c>
      <c r="H19" s="1" t="s">
        <v>4166</v>
      </c>
      <c r="I19" s="1" t="s">
        <v>4127</v>
      </c>
      <c r="J19" s="63">
        <v>29104391</v>
      </c>
      <c r="K19" s="1" t="s">
        <v>2438</v>
      </c>
      <c r="L19" s="1">
        <v>3447000</v>
      </c>
      <c r="M19" s="1" t="s">
        <v>3735</v>
      </c>
      <c r="N19" s="1" t="s">
        <v>4181</v>
      </c>
      <c r="O19" s="1">
        <v>3428</v>
      </c>
      <c r="P19" s="64">
        <v>43073</v>
      </c>
      <c r="Q19" s="64">
        <v>46724</v>
      </c>
      <c r="R19" s="62" t="s">
        <v>2440</v>
      </c>
      <c r="S19" s="29" t="s">
        <v>2441</v>
      </c>
      <c r="T19" s="9" t="s">
        <v>2447</v>
      </c>
      <c r="U19" s="9" t="s">
        <v>1114</v>
      </c>
      <c r="V19" s="9" t="s">
        <v>2704</v>
      </c>
      <c r="W19" s="9">
        <v>2568</v>
      </c>
      <c r="X19" s="60">
        <v>108227.62</v>
      </c>
      <c r="Y19" s="60">
        <v>103187.87</v>
      </c>
      <c r="Z19" s="2" t="s">
        <v>3741</v>
      </c>
      <c r="AA19" s="46"/>
      <c r="AB19" s="46"/>
      <c r="AC19" s="46"/>
      <c r="AD19" s="46"/>
      <c r="AE19" s="46"/>
      <c r="AF19" s="46"/>
      <c r="AG19" s="43"/>
      <c r="AH19" s="43"/>
      <c r="AI19" s="2"/>
      <c r="AJ19" s="1"/>
      <c r="AK19" s="46"/>
      <c r="AL19" s="46"/>
      <c r="AM19" s="44">
        <f t="shared" si="0"/>
        <v>0</v>
      </c>
      <c r="AN19" s="45">
        <f t="shared" si="1"/>
        <v>0</v>
      </c>
      <c r="AO19" s="46"/>
    </row>
    <row r="20" spans="1:41" ht="12.75">
      <c r="A20" s="1">
        <v>16</v>
      </c>
      <c r="B20" s="1" t="s">
        <v>64</v>
      </c>
      <c r="C20" s="1" t="s">
        <v>4</v>
      </c>
      <c r="D20" s="1">
        <v>3</v>
      </c>
      <c r="E20" s="14" t="s">
        <v>1100</v>
      </c>
      <c r="F20" s="9" t="s">
        <v>1129</v>
      </c>
      <c r="G20" s="9" t="s">
        <v>2449</v>
      </c>
      <c r="H20" s="1" t="s">
        <v>4166</v>
      </c>
      <c r="I20" s="1" t="s">
        <v>4127</v>
      </c>
      <c r="J20" s="63">
        <v>29104391</v>
      </c>
      <c r="K20" s="1" t="s">
        <v>2438</v>
      </c>
      <c r="L20" s="1">
        <v>3447000</v>
      </c>
      <c r="M20" s="1" t="s">
        <v>3735</v>
      </c>
      <c r="N20" s="1" t="s">
        <v>4181</v>
      </c>
      <c r="O20" s="1">
        <v>3428</v>
      </c>
      <c r="P20" s="64">
        <v>43073</v>
      </c>
      <c r="Q20" s="64">
        <v>46724</v>
      </c>
      <c r="R20" s="62" t="s">
        <v>2440</v>
      </c>
      <c r="S20" s="1" t="s">
        <v>2442</v>
      </c>
      <c r="T20" s="9" t="s">
        <v>2443</v>
      </c>
      <c r="U20" s="9" t="s">
        <v>1115</v>
      </c>
      <c r="V20" s="9" t="s">
        <v>2705</v>
      </c>
      <c r="W20" s="9">
        <v>2570</v>
      </c>
      <c r="X20" s="60">
        <v>108249.37</v>
      </c>
      <c r="Y20" s="60">
        <v>103134</v>
      </c>
      <c r="Z20" s="2" t="s">
        <v>3741</v>
      </c>
      <c r="AA20" s="46"/>
      <c r="AB20" s="46"/>
      <c r="AC20" s="46"/>
      <c r="AD20" s="46"/>
      <c r="AE20" s="46"/>
      <c r="AF20" s="46"/>
      <c r="AG20" s="43"/>
      <c r="AH20" s="43"/>
      <c r="AI20" s="2"/>
      <c r="AJ20" s="1"/>
      <c r="AK20" s="46"/>
      <c r="AL20" s="46"/>
      <c r="AM20" s="44">
        <f t="shared" si="0"/>
        <v>0</v>
      </c>
      <c r="AN20" s="45">
        <f t="shared" si="1"/>
        <v>0</v>
      </c>
      <c r="AO20" s="46"/>
    </row>
    <row r="21" spans="1:41" ht="12.75">
      <c r="A21" s="1">
        <v>17</v>
      </c>
      <c r="B21" s="1" t="s">
        <v>64</v>
      </c>
      <c r="C21" s="1" t="s">
        <v>4</v>
      </c>
      <c r="D21" s="1">
        <v>3</v>
      </c>
      <c r="E21" s="14" t="s">
        <v>1101</v>
      </c>
      <c r="F21" s="9" t="s">
        <v>1130</v>
      </c>
      <c r="G21" s="9" t="s">
        <v>2449</v>
      </c>
      <c r="H21" s="1" t="s">
        <v>4166</v>
      </c>
      <c r="I21" s="1" t="s">
        <v>4127</v>
      </c>
      <c r="J21" s="63">
        <v>29104391</v>
      </c>
      <c r="K21" s="1" t="s">
        <v>2438</v>
      </c>
      <c r="L21" s="1">
        <v>3447000</v>
      </c>
      <c r="M21" s="1" t="s">
        <v>3735</v>
      </c>
      <c r="N21" s="1" t="s">
        <v>4181</v>
      </c>
      <c r="O21" s="1">
        <v>3428</v>
      </c>
      <c r="P21" s="64">
        <v>43073</v>
      </c>
      <c r="Q21" s="64">
        <v>46724</v>
      </c>
      <c r="R21" s="62" t="s">
        <v>2440</v>
      </c>
      <c r="S21" s="29" t="s">
        <v>2441</v>
      </c>
      <c r="T21" s="9" t="s">
        <v>2443</v>
      </c>
      <c r="U21" s="9" t="s">
        <v>1116</v>
      </c>
      <c r="V21" s="9" t="s">
        <v>2706</v>
      </c>
      <c r="W21" s="9">
        <v>2570</v>
      </c>
      <c r="X21" s="60">
        <v>108270.71</v>
      </c>
      <c r="Y21" s="60">
        <v>103109.58</v>
      </c>
      <c r="Z21" s="2" t="s">
        <v>3741</v>
      </c>
      <c r="AA21" s="46"/>
      <c r="AB21" s="46"/>
      <c r="AC21" s="46"/>
      <c r="AD21" s="46"/>
      <c r="AE21" s="46"/>
      <c r="AF21" s="46"/>
      <c r="AG21" s="43"/>
      <c r="AH21" s="43"/>
      <c r="AI21" s="2"/>
      <c r="AJ21" s="1"/>
      <c r="AK21" s="46"/>
      <c r="AL21" s="46"/>
      <c r="AM21" s="44">
        <f t="shared" si="0"/>
        <v>0</v>
      </c>
      <c r="AN21" s="45">
        <f t="shared" si="1"/>
        <v>0</v>
      </c>
      <c r="AO21" s="46"/>
    </row>
    <row r="22" spans="1:41" ht="12.75">
      <c r="A22" s="1">
        <v>18</v>
      </c>
      <c r="B22" s="1" t="s">
        <v>64</v>
      </c>
      <c r="C22" s="1" t="s">
        <v>4</v>
      </c>
      <c r="D22" s="1">
        <v>3</v>
      </c>
      <c r="E22" s="14" t="s">
        <v>1102</v>
      </c>
      <c r="F22" s="9" t="s">
        <v>1130</v>
      </c>
      <c r="G22" s="9" t="s">
        <v>2449</v>
      </c>
      <c r="H22" s="1" t="s">
        <v>4166</v>
      </c>
      <c r="I22" s="1" t="s">
        <v>4127</v>
      </c>
      <c r="J22" s="63">
        <v>29104391</v>
      </c>
      <c r="K22" s="1" t="s">
        <v>2438</v>
      </c>
      <c r="L22" s="1">
        <v>3447000</v>
      </c>
      <c r="M22" s="1" t="s">
        <v>3735</v>
      </c>
      <c r="N22" s="1" t="s">
        <v>4181</v>
      </c>
      <c r="O22" s="1">
        <v>3428</v>
      </c>
      <c r="P22" s="64">
        <v>43073</v>
      </c>
      <c r="Q22" s="64">
        <v>46724</v>
      </c>
      <c r="R22" s="62" t="s">
        <v>2440</v>
      </c>
      <c r="S22" s="1" t="s">
        <v>2442</v>
      </c>
      <c r="T22" s="9" t="s">
        <v>2443</v>
      </c>
      <c r="U22" s="9" t="s">
        <v>1117</v>
      </c>
      <c r="V22" s="9" t="s">
        <v>2707</v>
      </c>
      <c r="W22" s="9">
        <v>2571</v>
      </c>
      <c r="X22" s="60">
        <v>108270.76</v>
      </c>
      <c r="Y22" s="60">
        <v>103090.12</v>
      </c>
      <c r="Z22" s="2" t="s">
        <v>3741</v>
      </c>
      <c r="AA22" s="46"/>
      <c r="AB22" s="46"/>
      <c r="AC22" s="46"/>
      <c r="AD22" s="46"/>
      <c r="AE22" s="46"/>
      <c r="AF22" s="46"/>
      <c r="AG22" s="43"/>
      <c r="AH22" s="43"/>
      <c r="AI22" s="2"/>
      <c r="AJ22" s="1"/>
      <c r="AK22" s="46"/>
      <c r="AL22" s="46"/>
      <c r="AM22" s="44">
        <f t="shared" si="0"/>
        <v>0</v>
      </c>
      <c r="AN22" s="45">
        <f t="shared" si="1"/>
        <v>0</v>
      </c>
      <c r="AO22" s="46"/>
    </row>
    <row r="23" spans="1:41" s="116" customFormat="1" ht="12.75">
      <c r="A23" s="1">
        <v>19</v>
      </c>
      <c r="B23" s="110" t="s">
        <v>64</v>
      </c>
      <c r="C23" s="110" t="s">
        <v>4</v>
      </c>
      <c r="D23" s="1">
        <v>3</v>
      </c>
      <c r="E23" s="111" t="s">
        <v>1103</v>
      </c>
      <c r="F23" s="112" t="s">
        <v>1130</v>
      </c>
      <c r="G23" s="112" t="s">
        <v>2449</v>
      </c>
      <c r="H23" s="110" t="s">
        <v>4166</v>
      </c>
      <c r="I23" s="110" t="s">
        <v>4127</v>
      </c>
      <c r="J23" s="110">
        <v>29104391</v>
      </c>
      <c r="K23" s="110" t="s">
        <v>2438</v>
      </c>
      <c r="L23" s="110">
        <v>3447000</v>
      </c>
      <c r="M23" s="110" t="s">
        <v>3735</v>
      </c>
      <c r="N23" s="1" t="s">
        <v>4181</v>
      </c>
      <c r="O23" s="1">
        <v>3428</v>
      </c>
      <c r="P23" s="64">
        <v>43073</v>
      </c>
      <c r="Q23" s="110">
        <v>46724</v>
      </c>
      <c r="R23" s="113" t="s">
        <v>2440</v>
      </c>
      <c r="S23" s="110" t="s">
        <v>2442</v>
      </c>
      <c r="T23" s="112" t="s">
        <v>2443</v>
      </c>
      <c r="U23" s="112" t="s">
        <v>1118</v>
      </c>
      <c r="V23" s="112" t="s">
        <v>2708</v>
      </c>
      <c r="W23" s="112">
        <v>2570</v>
      </c>
      <c r="X23" s="110">
        <v>108293.2</v>
      </c>
      <c r="Y23" s="110">
        <v>103034.51</v>
      </c>
      <c r="Z23" s="2" t="s">
        <v>3741</v>
      </c>
      <c r="AA23" s="115"/>
      <c r="AB23" s="115"/>
      <c r="AC23" s="115"/>
      <c r="AD23" s="115"/>
      <c r="AE23" s="115"/>
      <c r="AF23" s="115"/>
      <c r="AG23" s="114"/>
      <c r="AH23" s="114"/>
      <c r="AI23" s="2"/>
      <c r="AJ23" s="1"/>
      <c r="AK23" s="115"/>
      <c r="AL23" s="115"/>
      <c r="AM23" s="44">
        <f>AG23*AI23*AJ23*AK23</f>
        <v>0</v>
      </c>
      <c r="AN23" s="45">
        <f>AH23*AI23*AJ23*AL23</f>
        <v>0</v>
      </c>
      <c r="AO23" s="115"/>
    </row>
    <row r="24" spans="1:41" ht="12.75">
      <c r="A24" s="1">
        <v>20</v>
      </c>
      <c r="B24" s="1" t="s">
        <v>64</v>
      </c>
      <c r="C24" s="1" t="s">
        <v>4</v>
      </c>
      <c r="D24" s="1">
        <v>3</v>
      </c>
      <c r="E24" s="14" t="s">
        <v>1104</v>
      </c>
      <c r="F24" s="9" t="s">
        <v>1131</v>
      </c>
      <c r="G24" s="9" t="s">
        <v>2449</v>
      </c>
      <c r="H24" s="1" t="s">
        <v>4166</v>
      </c>
      <c r="I24" s="1" t="s">
        <v>4127</v>
      </c>
      <c r="J24" s="63">
        <v>29104391</v>
      </c>
      <c r="K24" s="1" t="s">
        <v>2438</v>
      </c>
      <c r="L24" s="1">
        <v>3447000</v>
      </c>
      <c r="M24" s="1" t="s">
        <v>3735</v>
      </c>
      <c r="N24" s="1" t="s">
        <v>4181</v>
      </c>
      <c r="O24" s="1">
        <v>3428</v>
      </c>
      <c r="P24" s="64">
        <v>43073</v>
      </c>
      <c r="Q24" s="64">
        <v>46724</v>
      </c>
      <c r="R24" s="62" t="s">
        <v>2440</v>
      </c>
      <c r="S24" s="1" t="s">
        <v>2442</v>
      </c>
      <c r="T24" s="9" t="s">
        <v>2443</v>
      </c>
      <c r="U24" s="9" t="s">
        <v>1119</v>
      </c>
      <c r="V24" s="9" t="s">
        <v>2709</v>
      </c>
      <c r="W24" s="9">
        <v>2558</v>
      </c>
      <c r="X24" s="60">
        <v>108499.74</v>
      </c>
      <c r="Y24" s="60">
        <v>102586.25</v>
      </c>
      <c r="Z24" s="2" t="s">
        <v>3741</v>
      </c>
      <c r="AA24" s="46"/>
      <c r="AB24" s="46"/>
      <c r="AC24" s="46"/>
      <c r="AD24" s="46"/>
      <c r="AE24" s="46"/>
      <c r="AF24" s="46"/>
      <c r="AG24" s="43"/>
      <c r="AH24" s="43"/>
      <c r="AI24" s="2"/>
      <c r="AJ24" s="1"/>
      <c r="AK24" s="46"/>
      <c r="AL24" s="46"/>
      <c r="AM24" s="44">
        <f t="shared" si="0"/>
        <v>0</v>
      </c>
      <c r="AN24" s="45">
        <f t="shared" si="1"/>
        <v>0</v>
      </c>
      <c r="AO24" s="46"/>
    </row>
    <row r="25" spans="1:41" ht="12.75">
      <c r="A25" s="1">
        <v>21</v>
      </c>
      <c r="B25" s="1" t="s">
        <v>64</v>
      </c>
      <c r="C25" s="1" t="s">
        <v>4</v>
      </c>
      <c r="D25" s="1">
        <v>3</v>
      </c>
      <c r="E25" s="14" t="s">
        <v>1105</v>
      </c>
      <c r="F25" s="9" t="s">
        <v>1132</v>
      </c>
      <c r="G25" s="9" t="s">
        <v>2449</v>
      </c>
      <c r="H25" s="1" t="s">
        <v>4166</v>
      </c>
      <c r="I25" s="1" t="s">
        <v>4127</v>
      </c>
      <c r="J25" s="63">
        <v>29104391</v>
      </c>
      <c r="K25" s="1" t="s">
        <v>2438</v>
      </c>
      <c r="L25" s="1">
        <v>3447000</v>
      </c>
      <c r="M25" s="1" t="s">
        <v>3735</v>
      </c>
      <c r="N25" s="1" t="s">
        <v>4181</v>
      </c>
      <c r="O25" s="1">
        <v>3428</v>
      </c>
      <c r="P25" s="64">
        <v>43073</v>
      </c>
      <c r="Q25" s="64">
        <v>46724</v>
      </c>
      <c r="R25" s="62" t="s">
        <v>2440</v>
      </c>
      <c r="S25" s="29" t="s">
        <v>2441</v>
      </c>
      <c r="T25" s="9" t="s">
        <v>2443</v>
      </c>
      <c r="U25" s="9" t="s">
        <v>1120</v>
      </c>
      <c r="V25" s="9" t="s">
        <v>2710</v>
      </c>
      <c r="W25" s="9">
        <v>2558</v>
      </c>
      <c r="X25" s="60">
        <v>108516.36</v>
      </c>
      <c r="Y25" s="60">
        <v>102555.09</v>
      </c>
      <c r="Z25" s="2" t="s">
        <v>3741</v>
      </c>
      <c r="AA25" s="46"/>
      <c r="AB25" s="46"/>
      <c r="AC25" s="46"/>
      <c r="AD25" s="46"/>
      <c r="AE25" s="46"/>
      <c r="AF25" s="46"/>
      <c r="AG25" s="43"/>
      <c r="AH25" s="43"/>
      <c r="AI25" s="2"/>
      <c r="AJ25" s="1"/>
      <c r="AK25" s="46"/>
      <c r="AL25" s="46"/>
      <c r="AM25" s="44">
        <f t="shared" si="0"/>
        <v>0</v>
      </c>
      <c r="AN25" s="45">
        <f t="shared" si="1"/>
        <v>0</v>
      </c>
      <c r="AO25" s="46"/>
    </row>
    <row r="26" spans="1:41" ht="12.75">
      <c r="A26" s="1">
        <v>22</v>
      </c>
      <c r="B26" s="1" t="s">
        <v>64</v>
      </c>
      <c r="C26" s="1" t="s">
        <v>4</v>
      </c>
      <c r="D26" s="1">
        <v>3</v>
      </c>
      <c r="E26" s="14" t="s">
        <v>1106</v>
      </c>
      <c r="F26" s="9" t="s">
        <v>1133</v>
      </c>
      <c r="G26" s="9" t="s">
        <v>2452</v>
      </c>
      <c r="H26" s="1" t="s">
        <v>4166</v>
      </c>
      <c r="I26" s="1" t="s">
        <v>4127</v>
      </c>
      <c r="J26" s="63">
        <v>29104391</v>
      </c>
      <c r="K26" s="1" t="s">
        <v>2438</v>
      </c>
      <c r="L26" s="1">
        <v>3447000</v>
      </c>
      <c r="M26" s="1" t="s">
        <v>3735</v>
      </c>
      <c r="N26" s="1" t="s">
        <v>4181</v>
      </c>
      <c r="O26" s="1">
        <v>3428</v>
      </c>
      <c r="P26" s="64">
        <v>43073</v>
      </c>
      <c r="Q26" s="64">
        <v>46724</v>
      </c>
      <c r="R26" s="62" t="s">
        <v>2440</v>
      </c>
      <c r="S26" s="1" t="s">
        <v>2442</v>
      </c>
      <c r="T26" s="9" t="s">
        <v>2443</v>
      </c>
      <c r="U26" s="9" t="s">
        <v>1121</v>
      </c>
      <c r="V26" s="9" t="s">
        <v>2711</v>
      </c>
      <c r="W26" s="9">
        <v>2555</v>
      </c>
      <c r="X26" s="60">
        <v>108730.02</v>
      </c>
      <c r="Y26" s="60">
        <v>102011</v>
      </c>
      <c r="Z26" s="2" t="s">
        <v>3741</v>
      </c>
      <c r="AA26" s="46"/>
      <c r="AB26" s="46"/>
      <c r="AC26" s="46"/>
      <c r="AD26" s="46"/>
      <c r="AE26" s="46"/>
      <c r="AF26" s="46"/>
      <c r="AG26" s="43"/>
      <c r="AH26" s="43"/>
      <c r="AI26" s="2"/>
      <c r="AJ26" s="1"/>
      <c r="AK26" s="46"/>
      <c r="AL26" s="46"/>
      <c r="AM26" s="44">
        <f t="shared" si="0"/>
        <v>0</v>
      </c>
      <c r="AN26" s="45">
        <f t="shared" si="1"/>
        <v>0</v>
      </c>
      <c r="AO26" s="46"/>
    </row>
    <row r="27" spans="1:41" ht="12.75">
      <c r="A27" s="1">
        <v>23</v>
      </c>
      <c r="B27" s="1" t="s">
        <v>64</v>
      </c>
      <c r="C27" s="1" t="s">
        <v>4</v>
      </c>
      <c r="D27" s="1">
        <v>3</v>
      </c>
      <c r="E27" s="14" t="s">
        <v>1107</v>
      </c>
      <c r="F27" s="9" t="s">
        <v>2029</v>
      </c>
      <c r="G27" s="9" t="s">
        <v>2452</v>
      </c>
      <c r="H27" s="1" t="s">
        <v>4166</v>
      </c>
      <c r="I27" s="1" t="s">
        <v>4127</v>
      </c>
      <c r="J27" s="63">
        <v>29104391</v>
      </c>
      <c r="K27" s="1" t="s">
        <v>2438</v>
      </c>
      <c r="L27" s="1">
        <v>3447000</v>
      </c>
      <c r="M27" s="1" t="s">
        <v>3735</v>
      </c>
      <c r="N27" s="1" t="s">
        <v>4181</v>
      </c>
      <c r="O27" s="1">
        <v>3428</v>
      </c>
      <c r="P27" s="64">
        <v>43073</v>
      </c>
      <c r="Q27" s="64">
        <v>46724</v>
      </c>
      <c r="R27" s="62" t="s">
        <v>2440</v>
      </c>
      <c r="S27" s="1" t="s">
        <v>2442</v>
      </c>
      <c r="T27" s="9" t="s">
        <v>2443</v>
      </c>
      <c r="U27" s="9" t="s">
        <v>1122</v>
      </c>
      <c r="V27" s="9" t="s">
        <v>2712</v>
      </c>
      <c r="W27" s="9">
        <v>2555</v>
      </c>
      <c r="X27" s="60">
        <v>108794.24</v>
      </c>
      <c r="Y27" s="60">
        <v>102020.49</v>
      </c>
      <c r="Z27" s="2" t="s">
        <v>3741</v>
      </c>
      <c r="AA27" s="46"/>
      <c r="AB27" s="46"/>
      <c r="AC27" s="46"/>
      <c r="AD27" s="46"/>
      <c r="AE27" s="46"/>
      <c r="AF27" s="46"/>
      <c r="AG27" s="43"/>
      <c r="AH27" s="43"/>
      <c r="AI27" s="2"/>
      <c r="AJ27" s="1"/>
      <c r="AK27" s="46"/>
      <c r="AL27" s="46"/>
      <c r="AM27" s="44">
        <f t="shared" si="0"/>
        <v>0</v>
      </c>
      <c r="AN27" s="45">
        <f t="shared" si="1"/>
        <v>0</v>
      </c>
      <c r="AO27" s="46"/>
    </row>
    <row r="28" spans="1:41" ht="36.75" customHeight="1">
      <c r="A28" s="1">
        <v>24</v>
      </c>
      <c r="B28" s="1" t="s">
        <v>64</v>
      </c>
      <c r="C28" s="1" t="s">
        <v>4</v>
      </c>
      <c r="D28" s="1">
        <v>3</v>
      </c>
      <c r="E28" s="1" t="s">
        <v>318</v>
      </c>
      <c r="F28" s="1" t="s">
        <v>2030</v>
      </c>
      <c r="G28" s="9" t="s">
        <v>2452</v>
      </c>
      <c r="H28" s="1" t="s">
        <v>4166</v>
      </c>
      <c r="I28" s="1" t="s">
        <v>4127</v>
      </c>
      <c r="J28" s="63">
        <v>29104391</v>
      </c>
      <c r="K28" s="1" t="s">
        <v>2438</v>
      </c>
      <c r="L28" s="1">
        <v>3447000</v>
      </c>
      <c r="M28" s="1" t="s">
        <v>3735</v>
      </c>
      <c r="N28" s="1" t="s">
        <v>4181</v>
      </c>
      <c r="O28" s="1">
        <v>3428</v>
      </c>
      <c r="P28" s="64">
        <v>43073</v>
      </c>
      <c r="Q28" s="64">
        <v>46724</v>
      </c>
      <c r="R28" s="62" t="s">
        <v>2440</v>
      </c>
      <c r="S28" s="29" t="s">
        <v>2442</v>
      </c>
      <c r="T28" s="9" t="s">
        <v>2443</v>
      </c>
      <c r="U28" s="2" t="s">
        <v>9</v>
      </c>
      <c r="V28" s="2" t="s">
        <v>2713</v>
      </c>
      <c r="W28" s="9">
        <v>2555</v>
      </c>
      <c r="X28" s="60">
        <v>108794.24</v>
      </c>
      <c r="Y28" s="60">
        <v>102020.49</v>
      </c>
      <c r="Z28" s="2" t="s">
        <v>4046</v>
      </c>
      <c r="AA28" s="67"/>
      <c r="AB28" s="2"/>
      <c r="AC28" s="2"/>
      <c r="AD28" s="2"/>
      <c r="AE28" s="2"/>
      <c r="AF28" s="2"/>
      <c r="AG28" s="43"/>
      <c r="AH28" s="43"/>
      <c r="AI28" s="2"/>
      <c r="AJ28" s="1"/>
      <c r="AK28" s="2"/>
      <c r="AL28" s="2"/>
      <c r="AM28" s="117">
        <f>AVERAGE(AM29:AM30)</f>
        <v>932479.2785952</v>
      </c>
      <c r="AN28" s="117">
        <f>AVERAGE(AN29:AN30)</f>
        <v>733176.4678272001</v>
      </c>
      <c r="AO28" s="2" t="s">
        <v>2455</v>
      </c>
    </row>
    <row r="29" spans="1:41" ht="37.5" customHeight="1">
      <c r="A29" s="1"/>
      <c r="B29" s="1"/>
      <c r="C29" s="1"/>
      <c r="D29" s="1"/>
      <c r="E29" s="1"/>
      <c r="F29" s="1"/>
      <c r="G29" s="9"/>
      <c r="H29" s="1"/>
      <c r="I29" s="1"/>
      <c r="J29" s="63"/>
      <c r="K29" s="1"/>
      <c r="L29" s="1"/>
      <c r="M29" s="1"/>
      <c r="N29" s="1"/>
      <c r="O29" s="1"/>
      <c r="P29" s="64"/>
      <c r="Q29" s="64"/>
      <c r="R29" s="62"/>
      <c r="S29" s="29"/>
      <c r="T29" s="9"/>
      <c r="U29" s="2"/>
      <c r="V29" s="2"/>
      <c r="W29" s="9"/>
      <c r="X29" s="60"/>
      <c r="Y29" s="60"/>
      <c r="Z29" s="2" t="s">
        <v>3753</v>
      </c>
      <c r="AA29" s="67">
        <v>43769</v>
      </c>
      <c r="AB29" s="2" t="s">
        <v>2411</v>
      </c>
      <c r="AC29" s="2">
        <v>259</v>
      </c>
      <c r="AD29" s="2">
        <v>184</v>
      </c>
      <c r="AE29" s="2">
        <v>147.485</v>
      </c>
      <c r="AF29" s="2">
        <v>24</v>
      </c>
      <c r="AG29" s="102">
        <f>AE29*AC29*AF29*0.0036</f>
        <v>3300.360336</v>
      </c>
      <c r="AH29" s="102">
        <f>AE29*AD29*AF29*0.0036</f>
        <v>2344.657536</v>
      </c>
      <c r="AI29" s="2">
        <v>30</v>
      </c>
      <c r="AJ29" s="1">
        <v>12</v>
      </c>
      <c r="AK29" s="2">
        <v>0.49</v>
      </c>
      <c r="AL29" s="2">
        <v>0.59</v>
      </c>
      <c r="AM29" s="124">
        <f>AG29*AI29*AJ29*AK29</f>
        <v>582183.5632704</v>
      </c>
      <c r="AN29" s="125">
        <f>AH29*AI29*AJ29*AL29</f>
        <v>498005.26064640004</v>
      </c>
      <c r="AO29" s="2"/>
    </row>
    <row r="30" spans="1:41" ht="33.75" customHeight="1">
      <c r="A30" s="1"/>
      <c r="B30" s="1"/>
      <c r="C30" s="1"/>
      <c r="D30" s="1"/>
      <c r="E30" s="1"/>
      <c r="F30" s="1"/>
      <c r="G30" s="9"/>
      <c r="H30" s="1"/>
      <c r="I30" s="1"/>
      <c r="J30" s="63"/>
      <c r="K30" s="1"/>
      <c r="L30" s="1"/>
      <c r="M30" s="1"/>
      <c r="N30" s="1"/>
      <c r="O30" s="1"/>
      <c r="P30" s="64"/>
      <c r="Q30" s="64"/>
      <c r="R30" s="62"/>
      <c r="S30" s="29"/>
      <c r="T30" s="9"/>
      <c r="U30" s="2"/>
      <c r="V30" s="2"/>
      <c r="W30" s="9"/>
      <c r="X30" s="60"/>
      <c r="Y30" s="60"/>
      <c r="Z30" s="2" t="s">
        <v>3763</v>
      </c>
      <c r="AA30" s="67">
        <v>43712</v>
      </c>
      <c r="AB30" s="2" t="s">
        <v>2472</v>
      </c>
      <c r="AC30" s="2">
        <v>300</v>
      </c>
      <c r="AD30" s="2">
        <v>185</v>
      </c>
      <c r="AE30" s="2">
        <v>237.02000000000004</v>
      </c>
      <c r="AF30" s="2">
        <v>24</v>
      </c>
      <c r="AG30" s="102">
        <f>AE30*AC30*AF30*0.0036</f>
        <v>6143.558400000002</v>
      </c>
      <c r="AH30" s="102">
        <f>AE30*AD30*AF30*0.0036</f>
        <v>3788.52768</v>
      </c>
      <c r="AI30" s="2">
        <v>30</v>
      </c>
      <c r="AJ30" s="1">
        <v>12</v>
      </c>
      <c r="AK30" s="2">
        <v>0.58</v>
      </c>
      <c r="AL30" s="2">
        <v>0.71</v>
      </c>
      <c r="AM30" s="124">
        <f>AG30*AI30*AJ30*AK30</f>
        <v>1282774.99392</v>
      </c>
      <c r="AN30" s="125">
        <f>AH30*AI30*AJ30*AL30</f>
        <v>968347.6750080001</v>
      </c>
      <c r="AO30" s="2"/>
    </row>
    <row r="31" spans="1:41" ht="60.75" customHeight="1">
      <c r="A31" s="1">
        <v>25</v>
      </c>
      <c r="B31" s="1" t="s">
        <v>64</v>
      </c>
      <c r="C31" s="1" t="s">
        <v>4</v>
      </c>
      <c r="D31" s="1">
        <v>3</v>
      </c>
      <c r="E31" s="1" t="s">
        <v>319</v>
      </c>
      <c r="F31" s="1" t="s">
        <v>2031</v>
      </c>
      <c r="G31" s="9" t="s">
        <v>2452</v>
      </c>
      <c r="H31" s="1" t="s">
        <v>4166</v>
      </c>
      <c r="I31" s="1" t="s">
        <v>4127</v>
      </c>
      <c r="J31" s="63">
        <v>29104391</v>
      </c>
      <c r="K31" s="1" t="s">
        <v>2438</v>
      </c>
      <c r="L31" s="1">
        <v>3447000</v>
      </c>
      <c r="M31" s="1" t="s">
        <v>3735</v>
      </c>
      <c r="N31" s="1" t="s">
        <v>4181</v>
      </c>
      <c r="O31" s="1">
        <v>3428</v>
      </c>
      <c r="P31" s="64">
        <v>43073</v>
      </c>
      <c r="Q31" s="64">
        <v>46724</v>
      </c>
      <c r="R31" s="62" t="s">
        <v>2440</v>
      </c>
      <c r="S31" s="29" t="s">
        <v>2441</v>
      </c>
      <c r="T31" s="9" t="s">
        <v>2443</v>
      </c>
      <c r="U31" s="2" t="s">
        <v>5</v>
      </c>
      <c r="V31" s="2" t="s">
        <v>2714</v>
      </c>
      <c r="W31" s="2">
        <v>2554</v>
      </c>
      <c r="X31" s="60">
        <v>108872.61</v>
      </c>
      <c r="Y31" s="60">
        <v>102034.36</v>
      </c>
      <c r="Z31" s="2" t="s">
        <v>4167</v>
      </c>
      <c r="AA31" s="67">
        <v>43712</v>
      </c>
      <c r="AB31" s="2" t="s">
        <v>3764</v>
      </c>
      <c r="AC31" s="2">
        <v>306</v>
      </c>
      <c r="AD31" s="2">
        <v>215</v>
      </c>
      <c r="AE31" s="2">
        <v>79.87199999999999</v>
      </c>
      <c r="AF31" s="2">
        <v>24</v>
      </c>
      <c r="AG31" s="102">
        <f>AE31*AC31*AF31*0.0036</f>
        <v>2111.6878847999997</v>
      </c>
      <c r="AH31" s="102">
        <f>AE31*AD31*AF31*0.0036</f>
        <v>1483.7022719999995</v>
      </c>
      <c r="AI31" s="2">
        <v>30</v>
      </c>
      <c r="AJ31" s="1">
        <v>12</v>
      </c>
      <c r="AK31" s="2">
        <v>0.51</v>
      </c>
      <c r="AL31" s="2">
        <v>0.65</v>
      </c>
      <c r="AM31" s="117">
        <f>AG31*AI31*AJ31*AK31</f>
        <v>387705.89564927993</v>
      </c>
      <c r="AN31" s="118">
        <f>AH31*AI31*AJ31*AL31</f>
        <v>347186.3316479999</v>
      </c>
      <c r="AO31" s="2" t="s">
        <v>2455</v>
      </c>
    </row>
    <row r="32" spans="1:41" ht="28.5" customHeight="1">
      <c r="A32" s="1">
        <v>26</v>
      </c>
      <c r="B32" s="1" t="s">
        <v>64</v>
      </c>
      <c r="C32" s="1" t="s">
        <v>4</v>
      </c>
      <c r="D32" s="1">
        <v>3</v>
      </c>
      <c r="E32" s="14" t="s">
        <v>1134</v>
      </c>
      <c r="F32" s="9" t="s">
        <v>2032</v>
      </c>
      <c r="G32" s="9" t="s">
        <v>2452</v>
      </c>
      <c r="H32" s="1" t="s">
        <v>4166</v>
      </c>
      <c r="I32" s="1" t="s">
        <v>4127</v>
      </c>
      <c r="J32" s="63">
        <v>29104391</v>
      </c>
      <c r="K32" s="1" t="s">
        <v>2438</v>
      </c>
      <c r="L32" s="1">
        <v>3447000</v>
      </c>
      <c r="M32" s="1" t="s">
        <v>3735</v>
      </c>
      <c r="N32" s="1" t="s">
        <v>4181</v>
      </c>
      <c r="O32" s="1">
        <v>3428</v>
      </c>
      <c r="P32" s="64">
        <v>43073</v>
      </c>
      <c r="Q32" s="64">
        <v>46724</v>
      </c>
      <c r="R32" s="62" t="s">
        <v>2440</v>
      </c>
      <c r="S32" s="29" t="s">
        <v>2441</v>
      </c>
      <c r="T32" s="9" t="s">
        <v>2443</v>
      </c>
      <c r="U32" s="9" t="s">
        <v>1138</v>
      </c>
      <c r="V32" s="9" t="s">
        <v>2715</v>
      </c>
      <c r="W32" s="9">
        <v>2556</v>
      </c>
      <c r="X32" s="60">
        <v>108970.92</v>
      </c>
      <c r="Y32" s="60">
        <v>102010.82</v>
      </c>
      <c r="Z32" s="2" t="s">
        <v>3741</v>
      </c>
      <c r="AA32" s="46"/>
      <c r="AB32" s="46"/>
      <c r="AC32" s="46"/>
      <c r="AD32" s="46"/>
      <c r="AE32" s="46"/>
      <c r="AF32" s="46"/>
      <c r="AG32" s="43"/>
      <c r="AH32" s="43"/>
      <c r="AI32" s="2"/>
      <c r="AJ32" s="1"/>
      <c r="AK32" s="46"/>
      <c r="AL32" s="46"/>
      <c r="AM32" s="44">
        <f t="shared" si="0"/>
        <v>0</v>
      </c>
      <c r="AN32" s="45">
        <f t="shared" si="1"/>
        <v>0</v>
      </c>
      <c r="AO32" s="46"/>
    </row>
    <row r="33" spans="1:41" ht="25.5">
      <c r="A33" s="1">
        <v>27</v>
      </c>
      <c r="B33" s="1" t="s">
        <v>64</v>
      </c>
      <c r="C33" s="1" t="s">
        <v>4</v>
      </c>
      <c r="D33" s="1">
        <v>3</v>
      </c>
      <c r="E33" s="14" t="s">
        <v>1135</v>
      </c>
      <c r="F33" s="9" t="s">
        <v>1142</v>
      </c>
      <c r="G33" s="9" t="s">
        <v>2452</v>
      </c>
      <c r="H33" s="1" t="s">
        <v>4166</v>
      </c>
      <c r="I33" s="1" t="s">
        <v>4127</v>
      </c>
      <c r="J33" s="63">
        <v>29104391</v>
      </c>
      <c r="K33" s="1" t="s">
        <v>2438</v>
      </c>
      <c r="L33" s="1">
        <v>3447000</v>
      </c>
      <c r="M33" s="1" t="s">
        <v>3735</v>
      </c>
      <c r="N33" s="1" t="s">
        <v>4181</v>
      </c>
      <c r="O33" s="1">
        <v>3428</v>
      </c>
      <c r="P33" s="64">
        <v>43073</v>
      </c>
      <c r="Q33" s="64">
        <v>46724</v>
      </c>
      <c r="R33" s="62" t="s">
        <v>2440</v>
      </c>
      <c r="S33" s="29" t="s">
        <v>2441</v>
      </c>
      <c r="T33" s="9" t="s">
        <v>2443</v>
      </c>
      <c r="U33" s="9" t="s">
        <v>1139</v>
      </c>
      <c r="V33" s="9" t="s">
        <v>2716</v>
      </c>
      <c r="W33" s="9">
        <v>2551</v>
      </c>
      <c r="X33" s="60">
        <v>109087.525</v>
      </c>
      <c r="Y33" s="60">
        <v>101770.067</v>
      </c>
      <c r="Z33" s="2" t="s">
        <v>3741</v>
      </c>
      <c r="AA33" s="46"/>
      <c r="AB33" s="46"/>
      <c r="AC33" s="46"/>
      <c r="AD33" s="46"/>
      <c r="AE33" s="46"/>
      <c r="AF33" s="46"/>
      <c r="AG33" s="43"/>
      <c r="AH33" s="43"/>
      <c r="AI33" s="2"/>
      <c r="AJ33" s="1"/>
      <c r="AK33" s="46"/>
      <c r="AL33" s="46"/>
      <c r="AM33" s="44">
        <f t="shared" si="0"/>
        <v>0</v>
      </c>
      <c r="AN33" s="45">
        <f t="shared" si="1"/>
        <v>0</v>
      </c>
      <c r="AO33" s="46"/>
    </row>
    <row r="34" spans="1:41" ht="12.75">
      <c r="A34" s="1">
        <v>28</v>
      </c>
      <c r="B34" s="1" t="s">
        <v>64</v>
      </c>
      <c r="C34" s="1" t="s">
        <v>4</v>
      </c>
      <c r="D34" s="1">
        <v>3</v>
      </c>
      <c r="E34" s="14" t="s">
        <v>1136</v>
      </c>
      <c r="F34" s="16" t="s">
        <v>1143</v>
      </c>
      <c r="G34" s="9" t="s">
        <v>2452</v>
      </c>
      <c r="H34" s="1" t="s">
        <v>4166</v>
      </c>
      <c r="I34" s="1" t="s">
        <v>4127</v>
      </c>
      <c r="J34" s="63">
        <v>29104391</v>
      </c>
      <c r="K34" s="1" t="s">
        <v>2438</v>
      </c>
      <c r="L34" s="1">
        <v>3447000</v>
      </c>
      <c r="M34" s="1" t="s">
        <v>3735</v>
      </c>
      <c r="N34" s="1" t="s">
        <v>4181</v>
      </c>
      <c r="O34" s="1">
        <v>3428</v>
      </c>
      <c r="P34" s="64">
        <v>43073</v>
      </c>
      <c r="Q34" s="64">
        <v>46724</v>
      </c>
      <c r="R34" s="62" t="s">
        <v>2440</v>
      </c>
      <c r="S34" s="29" t="s">
        <v>2441</v>
      </c>
      <c r="T34" s="9" t="s">
        <v>2443</v>
      </c>
      <c r="U34" s="9" t="s">
        <v>1140</v>
      </c>
      <c r="V34" s="9" t="s">
        <v>2717</v>
      </c>
      <c r="W34" s="9">
        <v>2552</v>
      </c>
      <c r="X34" s="60">
        <v>109115.59</v>
      </c>
      <c r="Y34" s="60">
        <v>101541.13</v>
      </c>
      <c r="Z34" s="2" t="s">
        <v>3741</v>
      </c>
      <c r="AA34" s="46"/>
      <c r="AB34" s="46"/>
      <c r="AC34" s="46"/>
      <c r="AD34" s="46"/>
      <c r="AE34" s="46"/>
      <c r="AF34" s="46"/>
      <c r="AG34" s="43"/>
      <c r="AH34" s="43"/>
      <c r="AI34" s="2"/>
      <c r="AJ34" s="1"/>
      <c r="AK34" s="46"/>
      <c r="AL34" s="46"/>
      <c r="AM34" s="44">
        <f t="shared" si="0"/>
        <v>0</v>
      </c>
      <c r="AN34" s="45">
        <f t="shared" si="1"/>
        <v>0</v>
      </c>
      <c r="AO34" s="46"/>
    </row>
    <row r="35" spans="1:41" ht="12.75">
      <c r="A35" s="1">
        <v>29</v>
      </c>
      <c r="B35" s="1" t="s">
        <v>64</v>
      </c>
      <c r="C35" s="1" t="s">
        <v>4</v>
      </c>
      <c r="D35" s="1">
        <v>3</v>
      </c>
      <c r="E35" s="14" t="s">
        <v>1137</v>
      </c>
      <c r="F35" s="9" t="s">
        <v>1144</v>
      </c>
      <c r="G35" s="9" t="s">
        <v>2452</v>
      </c>
      <c r="H35" s="1" t="s">
        <v>4166</v>
      </c>
      <c r="I35" s="1" t="s">
        <v>4127</v>
      </c>
      <c r="J35" s="63">
        <v>29104391</v>
      </c>
      <c r="K35" s="1" t="s">
        <v>2438</v>
      </c>
      <c r="L35" s="1">
        <v>3447000</v>
      </c>
      <c r="M35" s="1" t="s">
        <v>3735</v>
      </c>
      <c r="N35" s="1" t="s">
        <v>4181</v>
      </c>
      <c r="O35" s="1">
        <v>3428</v>
      </c>
      <c r="P35" s="64">
        <v>43073</v>
      </c>
      <c r="Q35" s="64">
        <v>46724</v>
      </c>
      <c r="R35" s="62" t="s">
        <v>2440</v>
      </c>
      <c r="S35" s="1" t="s">
        <v>2442</v>
      </c>
      <c r="T35" s="9" t="s">
        <v>2443</v>
      </c>
      <c r="U35" s="9" t="s">
        <v>1141</v>
      </c>
      <c r="V35" s="9" t="s">
        <v>2718</v>
      </c>
      <c r="W35" s="9">
        <v>2552</v>
      </c>
      <c r="X35" s="60">
        <v>109116.5</v>
      </c>
      <c r="Y35" s="60">
        <v>101371.55</v>
      </c>
      <c r="Z35" s="2" t="s">
        <v>3741</v>
      </c>
      <c r="AA35" s="46"/>
      <c r="AB35" s="46"/>
      <c r="AC35" s="46"/>
      <c r="AD35" s="46"/>
      <c r="AE35" s="46"/>
      <c r="AF35" s="46"/>
      <c r="AG35" s="43"/>
      <c r="AH35" s="43"/>
      <c r="AI35" s="2"/>
      <c r="AJ35" s="1"/>
      <c r="AK35" s="46"/>
      <c r="AL35" s="46"/>
      <c r="AM35" s="44">
        <f t="shared" si="0"/>
        <v>0</v>
      </c>
      <c r="AN35" s="45">
        <f t="shared" si="1"/>
        <v>0</v>
      </c>
      <c r="AO35" s="46"/>
    </row>
    <row r="36" spans="1:41" ht="68.25" customHeight="1">
      <c r="A36" s="1">
        <v>30</v>
      </c>
      <c r="B36" s="1" t="s">
        <v>64</v>
      </c>
      <c r="C36" s="1" t="s">
        <v>4</v>
      </c>
      <c r="D36" s="1">
        <v>3</v>
      </c>
      <c r="E36" s="1" t="s">
        <v>320</v>
      </c>
      <c r="F36" s="1" t="s">
        <v>2033</v>
      </c>
      <c r="G36" s="9" t="s">
        <v>2452</v>
      </c>
      <c r="H36" s="1" t="s">
        <v>4166</v>
      </c>
      <c r="I36" s="1" t="s">
        <v>4127</v>
      </c>
      <c r="J36" s="63">
        <v>29104391</v>
      </c>
      <c r="K36" s="1" t="s">
        <v>2438</v>
      </c>
      <c r="L36" s="1">
        <v>3447000</v>
      </c>
      <c r="M36" s="1" t="s">
        <v>3735</v>
      </c>
      <c r="N36" s="1" t="s">
        <v>4181</v>
      </c>
      <c r="O36" s="1">
        <v>3428</v>
      </c>
      <c r="P36" s="64">
        <v>43073</v>
      </c>
      <c r="Q36" s="64">
        <v>46724</v>
      </c>
      <c r="R36" s="62" t="s">
        <v>2440</v>
      </c>
      <c r="S36" s="1" t="s">
        <v>2442</v>
      </c>
      <c r="T36" s="9" t="s">
        <v>2443</v>
      </c>
      <c r="U36" s="2" t="s">
        <v>63</v>
      </c>
      <c r="V36" s="2" t="s">
        <v>2719</v>
      </c>
      <c r="W36" s="9">
        <v>2552</v>
      </c>
      <c r="X36" s="60">
        <v>109134.95</v>
      </c>
      <c r="Y36" s="60">
        <v>101291.58</v>
      </c>
      <c r="Z36" s="2" t="s">
        <v>4034</v>
      </c>
      <c r="AA36" s="67">
        <v>43401</v>
      </c>
      <c r="AB36" s="50">
        <v>0.4583333333333333</v>
      </c>
      <c r="AC36" s="122"/>
      <c r="AD36" s="122"/>
      <c r="AE36" s="122"/>
      <c r="AF36" s="122"/>
      <c r="AG36" s="122"/>
      <c r="AH36" s="122"/>
      <c r="AI36" s="122"/>
      <c r="AJ36" s="122"/>
      <c r="AK36" s="122"/>
      <c r="AL36" s="122"/>
      <c r="AM36" s="117">
        <v>401588.7341857271</v>
      </c>
      <c r="AN36" s="118">
        <v>267768.9887562828</v>
      </c>
      <c r="AO36" s="46"/>
    </row>
    <row r="37" spans="1:41" ht="12.75">
      <c r="A37" s="1">
        <v>31</v>
      </c>
      <c r="B37" s="1" t="s">
        <v>64</v>
      </c>
      <c r="C37" s="1" t="s">
        <v>4</v>
      </c>
      <c r="D37" s="1">
        <v>3</v>
      </c>
      <c r="E37" s="14" t="s">
        <v>1145</v>
      </c>
      <c r="F37" s="9" t="s">
        <v>1151</v>
      </c>
      <c r="G37" s="9" t="s">
        <v>2452</v>
      </c>
      <c r="H37" s="1" t="s">
        <v>4166</v>
      </c>
      <c r="I37" s="1" t="s">
        <v>4127</v>
      </c>
      <c r="J37" s="63">
        <v>29104391</v>
      </c>
      <c r="K37" s="1" t="s">
        <v>2438</v>
      </c>
      <c r="L37" s="1">
        <v>3447000</v>
      </c>
      <c r="M37" s="1" t="s">
        <v>3735</v>
      </c>
      <c r="N37" s="1" t="s">
        <v>4181</v>
      </c>
      <c r="O37" s="1">
        <v>3428</v>
      </c>
      <c r="P37" s="64">
        <v>43073</v>
      </c>
      <c r="Q37" s="64">
        <v>46724</v>
      </c>
      <c r="R37" s="62" t="s">
        <v>2440</v>
      </c>
      <c r="S37" s="29" t="s">
        <v>2441</v>
      </c>
      <c r="T37" s="9" t="s">
        <v>2443</v>
      </c>
      <c r="U37" s="9" t="s">
        <v>1148</v>
      </c>
      <c r="V37" s="9" t="s">
        <v>2720</v>
      </c>
      <c r="W37" s="9">
        <v>2552</v>
      </c>
      <c r="X37" s="60">
        <v>109511.13</v>
      </c>
      <c r="Y37" s="60">
        <v>100873.6</v>
      </c>
      <c r="Z37" s="2" t="s">
        <v>3741</v>
      </c>
      <c r="AA37" s="46"/>
      <c r="AB37" s="46"/>
      <c r="AC37" s="46"/>
      <c r="AD37" s="46"/>
      <c r="AE37" s="46"/>
      <c r="AF37" s="46"/>
      <c r="AG37" s="43"/>
      <c r="AH37" s="43"/>
      <c r="AI37" s="2"/>
      <c r="AJ37" s="1"/>
      <c r="AK37" s="46"/>
      <c r="AL37" s="46"/>
      <c r="AM37" s="44">
        <f t="shared" si="0"/>
        <v>0</v>
      </c>
      <c r="AN37" s="45">
        <f t="shared" si="1"/>
        <v>0</v>
      </c>
      <c r="AO37" s="46"/>
    </row>
    <row r="38" spans="1:41" ht="12.75">
      <c r="A38" s="1">
        <v>32</v>
      </c>
      <c r="B38" s="1" t="s">
        <v>64</v>
      </c>
      <c r="C38" s="1" t="s">
        <v>4</v>
      </c>
      <c r="D38" s="1">
        <v>3</v>
      </c>
      <c r="E38" s="14" t="s">
        <v>1146</v>
      </c>
      <c r="F38" s="9" t="s">
        <v>1152</v>
      </c>
      <c r="G38" s="9" t="s">
        <v>2452</v>
      </c>
      <c r="H38" s="1" t="s">
        <v>4166</v>
      </c>
      <c r="I38" s="1" t="s">
        <v>4127</v>
      </c>
      <c r="J38" s="63">
        <v>29104391</v>
      </c>
      <c r="K38" s="1" t="s">
        <v>2438</v>
      </c>
      <c r="L38" s="1">
        <v>3447000</v>
      </c>
      <c r="M38" s="1" t="s">
        <v>3735</v>
      </c>
      <c r="N38" s="1" t="s">
        <v>4181</v>
      </c>
      <c r="O38" s="1">
        <v>3428</v>
      </c>
      <c r="P38" s="64">
        <v>43073</v>
      </c>
      <c r="Q38" s="64">
        <v>46724</v>
      </c>
      <c r="R38" s="62" t="s">
        <v>2440</v>
      </c>
      <c r="S38" s="29" t="s">
        <v>2441</v>
      </c>
      <c r="T38" s="9" t="s">
        <v>2443</v>
      </c>
      <c r="U38" s="9" t="s">
        <v>1149</v>
      </c>
      <c r="V38" s="9" t="s">
        <v>2721</v>
      </c>
      <c r="W38" s="9">
        <v>2550</v>
      </c>
      <c r="X38" s="60">
        <v>109672.6</v>
      </c>
      <c r="Y38" s="60">
        <v>100681.63</v>
      </c>
      <c r="Z38" s="2" t="s">
        <v>3741</v>
      </c>
      <c r="AA38" s="46"/>
      <c r="AB38" s="46"/>
      <c r="AC38" s="46"/>
      <c r="AD38" s="46"/>
      <c r="AE38" s="46"/>
      <c r="AF38" s="46"/>
      <c r="AG38" s="43"/>
      <c r="AH38" s="43"/>
      <c r="AI38" s="2"/>
      <c r="AJ38" s="1"/>
      <c r="AK38" s="46"/>
      <c r="AL38" s="46"/>
      <c r="AM38" s="44">
        <f t="shared" si="0"/>
        <v>0</v>
      </c>
      <c r="AN38" s="45">
        <f t="shared" si="1"/>
        <v>0</v>
      </c>
      <c r="AO38" s="46"/>
    </row>
    <row r="39" spans="1:41" ht="12.75">
      <c r="A39" s="1">
        <v>33</v>
      </c>
      <c r="B39" s="1" t="s">
        <v>64</v>
      </c>
      <c r="C39" s="1" t="s">
        <v>4</v>
      </c>
      <c r="D39" s="1">
        <v>3</v>
      </c>
      <c r="E39" s="14" t="s">
        <v>1147</v>
      </c>
      <c r="F39" s="9" t="s">
        <v>1153</v>
      </c>
      <c r="G39" s="9" t="s">
        <v>2452</v>
      </c>
      <c r="H39" s="1" t="s">
        <v>4166</v>
      </c>
      <c r="I39" s="1" t="s">
        <v>4127</v>
      </c>
      <c r="J39" s="63">
        <v>29104391</v>
      </c>
      <c r="K39" s="1" t="s">
        <v>2438</v>
      </c>
      <c r="L39" s="1">
        <v>3447000</v>
      </c>
      <c r="M39" s="1" t="s">
        <v>3735</v>
      </c>
      <c r="N39" s="1" t="s">
        <v>4181</v>
      </c>
      <c r="O39" s="1">
        <v>3428</v>
      </c>
      <c r="P39" s="64">
        <v>43073</v>
      </c>
      <c r="Q39" s="64">
        <v>46724</v>
      </c>
      <c r="R39" s="62" t="s">
        <v>2440</v>
      </c>
      <c r="S39" s="29" t="s">
        <v>2441</v>
      </c>
      <c r="T39" s="9" t="s">
        <v>2443</v>
      </c>
      <c r="U39" s="9" t="s">
        <v>1150</v>
      </c>
      <c r="V39" s="9" t="s">
        <v>2722</v>
      </c>
      <c r="W39" s="9">
        <v>2549</v>
      </c>
      <c r="X39" s="60">
        <v>109708.92</v>
      </c>
      <c r="Y39" s="60">
        <v>100568.31</v>
      </c>
      <c r="Z39" s="2" t="s">
        <v>3741</v>
      </c>
      <c r="AA39" s="46"/>
      <c r="AB39" s="46"/>
      <c r="AC39" s="46"/>
      <c r="AD39" s="46"/>
      <c r="AE39" s="46"/>
      <c r="AF39" s="46"/>
      <c r="AG39" s="43"/>
      <c r="AH39" s="43"/>
      <c r="AI39" s="2"/>
      <c r="AJ39" s="1"/>
      <c r="AK39" s="46"/>
      <c r="AL39" s="46"/>
      <c r="AM39" s="44">
        <f t="shared" si="0"/>
        <v>0</v>
      </c>
      <c r="AN39" s="45">
        <f t="shared" si="1"/>
        <v>0</v>
      </c>
      <c r="AO39" s="46"/>
    </row>
    <row r="40" spans="1:41" ht="12.75">
      <c r="A40" s="215" t="s">
        <v>2414</v>
      </c>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119">
        <f>AM28+AM31+AM36</f>
        <v>1721773.908430207</v>
      </c>
      <c r="AN40" s="119">
        <f>AN28+AN31+AN36</f>
        <v>1348131.7882314827</v>
      </c>
      <c r="AO40" s="46"/>
    </row>
    <row r="41" spans="1:41" ht="12.75">
      <c r="A41" s="213" t="s">
        <v>2415</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73">
        <f>SUM(AM13:AM39)-AM29-AM30</f>
        <v>1748139.549953407</v>
      </c>
      <c r="AN41" s="73">
        <f>SUM(AN13:AN39)-AN29-AN30</f>
        <v>1405416.3982794832</v>
      </c>
      <c r="AO41" s="46"/>
    </row>
    <row r="42" spans="1:41" ht="12.75">
      <c r="A42" s="1">
        <v>34</v>
      </c>
      <c r="B42" s="1" t="s">
        <v>55</v>
      </c>
      <c r="C42" s="1" t="s">
        <v>4</v>
      </c>
      <c r="D42" s="1">
        <v>4</v>
      </c>
      <c r="E42" s="1" t="s">
        <v>1043</v>
      </c>
      <c r="F42" s="22" t="s">
        <v>1047</v>
      </c>
      <c r="G42" s="22" t="s">
        <v>2437</v>
      </c>
      <c r="H42" s="1" t="s">
        <v>4166</v>
      </c>
      <c r="I42" s="1" t="s">
        <v>4127</v>
      </c>
      <c r="J42" s="63">
        <v>29104391</v>
      </c>
      <c r="K42" s="1" t="s">
        <v>2438</v>
      </c>
      <c r="L42" s="1">
        <v>3447000</v>
      </c>
      <c r="M42" s="1" t="s">
        <v>3735</v>
      </c>
      <c r="N42" s="1" t="s">
        <v>4181</v>
      </c>
      <c r="O42" s="1">
        <v>3428</v>
      </c>
      <c r="P42" s="64">
        <v>43073</v>
      </c>
      <c r="Q42" s="64">
        <v>46724</v>
      </c>
      <c r="R42" s="62" t="s">
        <v>2440</v>
      </c>
      <c r="S42" s="29" t="s">
        <v>2441</v>
      </c>
      <c r="T42" s="9" t="s">
        <v>2443</v>
      </c>
      <c r="U42" s="22" t="s">
        <v>2727</v>
      </c>
      <c r="V42" s="22" t="s">
        <v>2723</v>
      </c>
      <c r="W42" s="22">
        <v>2593</v>
      </c>
      <c r="X42" s="60">
        <v>109698.76</v>
      </c>
      <c r="Y42" s="60">
        <v>105183.42</v>
      </c>
      <c r="Z42" s="2" t="s">
        <v>3741</v>
      </c>
      <c r="AA42" s="46"/>
      <c r="AB42" s="46"/>
      <c r="AC42" s="46"/>
      <c r="AD42" s="46"/>
      <c r="AE42" s="46"/>
      <c r="AF42" s="46"/>
      <c r="AG42" s="43"/>
      <c r="AH42" s="43"/>
      <c r="AI42" s="2"/>
      <c r="AJ42" s="1"/>
      <c r="AK42" s="46"/>
      <c r="AL42" s="46"/>
      <c r="AM42" s="44">
        <f t="shared" si="0"/>
        <v>0</v>
      </c>
      <c r="AN42" s="45">
        <f t="shared" si="1"/>
        <v>0</v>
      </c>
      <c r="AO42" s="46"/>
    </row>
    <row r="43" spans="1:41" ht="12.75">
      <c r="A43" s="1">
        <v>35</v>
      </c>
      <c r="B43" s="1" t="s">
        <v>55</v>
      </c>
      <c r="C43" s="1" t="s">
        <v>4</v>
      </c>
      <c r="D43" s="1">
        <v>4</v>
      </c>
      <c r="E43" s="1" t="s">
        <v>1044</v>
      </c>
      <c r="F43" s="22" t="s">
        <v>1047</v>
      </c>
      <c r="G43" s="22" t="s">
        <v>2437</v>
      </c>
      <c r="H43" s="1" t="s">
        <v>4166</v>
      </c>
      <c r="I43" s="1" t="s">
        <v>4127</v>
      </c>
      <c r="J43" s="63">
        <v>29104391</v>
      </c>
      <c r="K43" s="1" t="s">
        <v>2438</v>
      </c>
      <c r="L43" s="1">
        <v>3447000</v>
      </c>
      <c r="M43" s="1" t="s">
        <v>3735</v>
      </c>
      <c r="N43" s="1" t="s">
        <v>4181</v>
      </c>
      <c r="O43" s="1">
        <v>3428</v>
      </c>
      <c r="P43" s="64">
        <v>43073</v>
      </c>
      <c r="Q43" s="64">
        <v>46724</v>
      </c>
      <c r="R43" s="62" t="s">
        <v>2440</v>
      </c>
      <c r="S43" s="22" t="s">
        <v>2442</v>
      </c>
      <c r="T43" s="22" t="s">
        <v>2447</v>
      </c>
      <c r="U43" s="22" t="s">
        <v>2726</v>
      </c>
      <c r="V43" s="22" t="s">
        <v>2724</v>
      </c>
      <c r="W43" s="22">
        <v>2590</v>
      </c>
      <c r="X43" s="60">
        <v>109716.28</v>
      </c>
      <c r="Y43" s="60">
        <v>105163.99</v>
      </c>
      <c r="Z43" s="2" t="s">
        <v>3741</v>
      </c>
      <c r="AA43" s="46"/>
      <c r="AB43" s="46"/>
      <c r="AC43" s="46"/>
      <c r="AD43" s="46"/>
      <c r="AE43" s="46"/>
      <c r="AF43" s="46"/>
      <c r="AG43" s="43"/>
      <c r="AH43" s="43"/>
      <c r="AI43" s="2"/>
      <c r="AJ43" s="1"/>
      <c r="AK43" s="46"/>
      <c r="AL43" s="46"/>
      <c r="AM43" s="44">
        <f t="shared" si="0"/>
        <v>0</v>
      </c>
      <c r="AN43" s="45">
        <f t="shared" si="1"/>
        <v>0</v>
      </c>
      <c r="AO43" s="46"/>
    </row>
    <row r="44" spans="1:41" ht="12.75">
      <c r="A44" s="1">
        <v>36</v>
      </c>
      <c r="B44" s="1" t="s">
        <v>55</v>
      </c>
      <c r="C44" s="1" t="s">
        <v>4</v>
      </c>
      <c r="D44" s="1">
        <v>4</v>
      </c>
      <c r="E44" s="1" t="s">
        <v>1045</v>
      </c>
      <c r="F44" s="22" t="s">
        <v>1048</v>
      </c>
      <c r="G44" s="22" t="s">
        <v>2437</v>
      </c>
      <c r="H44" s="1" t="s">
        <v>4166</v>
      </c>
      <c r="I44" s="1" t="s">
        <v>4127</v>
      </c>
      <c r="J44" s="63">
        <v>29104391</v>
      </c>
      <c r="K44" s="1" t="s">
        <v>2438</v>
      </c>
      <c r="L44" s="1">
        <v>3447000</v>
      </c>
      <c r="M44" s="1" t="s">
        <v>3735</v>
      </c>
      <c r="N44" s="1" t="s">
        <v>4181</v>
      </c>
      <c r="O44" s="1">
        <v>3428</v>
      </c>
      <c r="P44" s="64">
        <v>43073</v>
      </c>
      <c r="Q44" s="64">
        <v>46724</v>
      </c>
      <c r="R44" s="62" t="s">
        <v>2440</v>
      </c>
      <c r="S44" s="29" t="s">
        <v>2441</v>
      </c>
      <c r="T44" s="9" t="s">
        <v>2443</v>
      </c>
      <c r="U44" s="22" t="s">
        <v>2725</v>
      </c>
      <c r="V44" s="22" t="s">
        <v>2728</v>
      </c>
      <c r="W44" s="22">
        <v>2589</v>
      </c>
      <c r="X44" s="60">
        <v>109738.4</v>
      </c>
      <c r="Y44" s="60">
        <v>105159.36</v>
      </c>
      <c r="Z44" s="2" t="s">
        <v>3741</v>
      </c>
      <c r="AA44" s="46"/>
      <c r="AB44" s="46"/>
      <c r="AC44" s="46"/>
      <c r="AD44" s="46"/>
      <c r="AE44" s="46"/>
      <c r="AF44" s="46"/>
      <c r="AG44" s="43"/>
      <c r="AH44" s="43"/>
      <c r="AI44" s="2"/>
      <c r="AJ44" s="1"/>
      <c r="AK44" s="46"/>
      <c r="AL44" s="46"/>
      <c r="AM44" s="44">
        <f t="shared" si="0"/>
        <v>0</v>
      </c>
      <c r="AN44" s="45">
        <f t="shared" si="1"/>
        <v>0</v>
      </c>
      <c r="AO44" s="46"/>
    </row>
    <row r="45" spans="1:41" ht="12.75">
      <c r="A45" s="1">
        <v>37</v>
      </c>
      <c r="B45" s="1" t="s">
        <v>55</v>
      </c>
      <c r="C45" s="1" t="s">
        <v>4</v>
      </c>
      <c r="D45" s="1">
        <v>4</v>
      </c>
      <c r="E45" s="1" t="s">
        <v>1046</v>
      </c>
      <c r="F45" s="22" t="s">
        <v>1049</v>
      </c>
      <c r="G45" s="22" t="s">
        <v>2437</v>
      </c>
      <c r="H45" s="1" t="s">
        <v>4166</v>
      </c>
      <c r="I45" s="1" t="s">
        <v>4127</v>
      </c>
      <c r="J45" s="63">
        <v>29104391</v>
      </c>
      <c r="K45" s="1" t="s">
        <v>2438</v>
      </c>
      <c r="L45" s="1">
        <v>3447000</v>
      </c>
      <c r="M45" s="1" t="s">
        <v>3735</v>
      </c>
      <c r="N45" s="1" t="s">
        <v>4181</v>
      </c>
      <c r="O45" s="1">
        <v>3428</v>
      </c>
      <c r="P45" s="64">
        <v>43073</v>
      </c>
      <c r="Q45" s="64">
        <v>46724</v>
      </c>
      <c r="R45" s="62" t="s">
        <v>2440</v>
      </c>
      <c r="S45" s="29" t="s">
        <v>2441</v>
      </c>
      <c r="T45" s="9" t="s">
        <v>2443</v>
      </c>
      <c r="U45" s="22" t="s">
        <v>2729</v>
      </c>
      <c r="V45" s="22" t="s">
        <v>2730</v>
      </c>
      <c r="W45" s="22">
        <v>2577</v>
      </c>
      <c r="X45" s="60">
        <v>109939.61</v>
      </c>
      <c r="Y45" s="60">
        <v>104727.07</v>
      </c>
      <c r="Z45" s="2" t="s">
        <v>3741</v>
      </c>
      <c r="AA45" s="46"/>
      <c r="AB45" s="46"/>
      <c r="AC45" s="46"/>
      <c r="AD45" s="46"/>
      <c r="AE45" s="46"/>
      <c r="AF45" s="46"/>
      <c r="AG45" s="43"/>
      <c r="AH45" s="43"/>
      <c r="AI45" s="2"/>
      <c r="AJ45" s="1"/>
      <c r="AK45" s="46"/>
      <c r="AL45" s="46"/>
      <c r="AM45" s="44">
        <f t="shared" si="0"/>
        <v>0</v>
      </c>
      <c r="AN45" s="45">
        <f t="shared" si="1"/>
        <v>0</v>
      </c>
      <c r="AO45" s="46"/>
    </row>
    <row r="46" spans="1:41" ht="42.75" customHeight="1">
      <c r="A46" s="1">
        <v>38</v>
      </c>
      <c r="B46" s="1" t="s">
        <v>55</v>
      </c>
      <c r="C46" s="1" t="s">
        <v>4</v>
      </c>
      <c r="D46" s="1">
        <v>4</v>
      </c>
      <c r="E46" s="1" t="s">
        <v>434</v>
      </c>
      <c r="F46" s="1" t="s">
        <v>435</v>
      </c>
      <c r="G46" s="22" t="s">
        <v>2437</v>
      </c>
      <c r="H46" s="1" t="s">
        <v>4166</v>
      </c>
      <c r="I46" s="1" t="s">
        <v>4127</v>
      </c>
      <c r="J46" s="63">
        <v>29104391</v>
      </c>
      <c r="K46" s="1" t="s">
        <v>2438</v>
      </c>
      <c r="L46" s="1">
        <v>3447000</v>
      </c>
      <c r="M46" s="1" t="s">
        <v>3735</v>
      </c>
      <c r="N46" s="1" t="s">
        <v>4181</v>
      </c>
      <c r="O46" s="1">
        <v>3428</v>
      </c>
      <c r="P46" s="64">
        <v>43073</v>
      </c>
      <c r="Q46" s="64">
        <v>46724</v>
      </c>
      <c r="R46" s="62" t="s">
        <v>2440</v>
      </c>
      <c r="S46" s="29" t="s">
        <v>2441</v>
      </c>
      <c r="T46" s="9" t="s">
        <v>2443</v>
      </c>
      <c r="U46" s="1" t="s">
        <v>57</v>
      </c>
      <c r="V46" s="1" t="s">
        <v>2731</v>
      </c>
      <c r="W46" s="1">
        <v>2573</v>
      </c>
      <c r="X46" s="60">
        <v>110026.28</v>
      </c>
      <c r="Y46" s="60">
        <v>104831.51</v>
      </c>
      <c r="Z46" s="2" t="s">
        <v>3753</v>
      </c>
      <c r="AA46" s="67">
        <v>43783</v>
      </c>
      <c r="AB46" s="2" t="s">
        <v>2507</v>
      </c>
      <c r="AC46" s="2">
        <v>27</v>
      </c>
      <c r="AD46" s="2">
        <v>19</v>
      </c>
      <c r="AE46" s="2">
        <v>2.87</v>
      </c>
      <c r="AF46" s="2">
        <v>24</v>
      </c>
      <c r="AG46" s="43">
        <f>AE46*AC46*AF46*0.0036</f>
        <v>6.695136000000001</v>
      </c>
      <c r="AH46" s="43">
        <f aca="true" t="shared" si="2" ref="AH46:AH59">AE46*AD46*AF46*0.0036</f>
        <v>4.711392</v>
      </c>
      <c r="AI46" s="2">
        <v>30</v>
      </c>
      <c r="AJ46" s="1">
        <v>12</v>
      </c>
      <c r="AK46" s="1">
        <v>0.68</v>
      </c>
      <c r="AL46" s="1">
        <v>0.69</v>
      </c>
      <c r="AM46" s="117">
        <f>AG46*AI46*AJ46*AK46</f>
        <v>1638.9692928</v>
      </c>
      <c r="AN46" s="118">
        <f t="shared" si="1"/>
        <v>1170.3097727999998</v>
      </c>
      <c r="AO46" s="2" t="s">
        <v>2405</v>
      </c>
    </row>
    <row r="47" spans="1:41" ht="45" customHeight="1">
      <c r="A47" s="1">
        <v>39</v>
      </c>
      <c r="B47" s="1" t="s">
        <v>55</v>
      </c>
      <c r="C47" s="1" t="s">
        <v>4</v>
      </c>
      <c r="D47" s="1">
        <v>4</v>
      </c>
      <c r="E47" s="1" t="s">
        <v>429</v>
      </c>
      <c r="F47" s="1" t="s">
        <v>2035</v>
      </c>
      <c r="G47" s="22" t="s">
        <v>2437</v>
      </c>
      <c r="H47" s="1" t="s">
        <v>4166</v>
      </c>
      <c r="I47" s="1" t="s">
        <v>4127</v>
      </c>
      <c r="J47" s="63">
        <v>29104391</v>
      </c>
      <c r="K47" s="1" t="s">
        <v>2438</v>
      </c>
      <c r="L47" s="1">
        <v>3447000</v>
      </c>
      <c r="M47" s="1" t="s">
        <v>3735</v>
      </c>
      <c r="N47" s="1" t="s">
        <v>4181</v>
      </c>
      <c r="O47" s="1">
        <v>3428</v>
      </c>
      <c r="P47" s="64">
        <v>43073</v>
      </c>
      <c r="Q47" s="64">
        <v>46724</v>
      </c>
      <c r="R47" s="62" t="s">
        <v>2440</v>
      </c>
      <c r="S47" s="22" t="s">
        <v>2442</v>
      </c>
      <c r="T47" s="9" t="s">
        <v>2443</v>
      </c>
      <c r="U47" s="2" t="s">
        <v>10</v>
      </c>
      <c r="V47" s="2" t="s">
        <v>2732</v>
      </c>
      <c r="W47" s="2">
        <v>2571</v>
      </c>
      <c r="X47" s="60">
        <v>110032.72</v>
      </c>
      <c r="Y47" s="60">
        <v>104723.97</v>
      </c>
      <c r="Z47" s="2" t="s">
        <v>3753</v>
      </c>
      <c r="AA47" s="67">
        <v>43783</v>
      </c>
      <c r="AB47" s="2" t="s">
        <v>3771</v>
      </c>
      <c r="AC47" s="2">
        <v>57</v>
      </c>
      <c r="AD47" s="2">
        <v>46</v>
      </c>
      <c r="AE47" s="2">
        <v>1.145</v>
      </c>
      <c r="AF47" s="2">
        <v>24</v>
      </c>
      <c r="AG47" s="43">
        <f>AE47*AC47*AF47*0.0036</f>
        <v>5.638896</v>
      </c>
      <c r="AH47" s="43">
        <f t="shared" si="2"/>
        <v>4.550687999999999</v>
      </c>
      <c r="AI47" s="2">
        <v>30</v>
      </c>
      <c r="AJ47" s="1">
        <v>12</v>
      </c>
      <c r="AK47" s="1">
        <v>0.68</v>
      </c>
      <c r="AL47" s="1">
        <v>0.69</v>
      </c>
      <c r="AM47" s="117">
        <f t="shared" si="0"/>
        <v>1380.4017408</v>
      </c>
      <c r="AN47" s="118">
        <f t="shared" si="1"/>
        <v>1130.3908992</v>
      </c>
      <c r="AO47" s="2" t="s">
        <v>2405</v>
      </c>
    </row>
    <row r="48" spans="1:41" ht="45" customHeight="1">
      <c r="A48" s="1">
        <v>40</v>
      </c>
      <c r="B48" s="1" t="s">
        <v>55</v>
      </c>
      <c r="C48" s="1" t="s">
        <v>4</v>
      </c>
      <c r="D48" s="1">
        <v>4</v>
      </c>
      <c r="E48" s="1" t="s">
        <v>430</v>
      </c>
      <c r="F48" s="1" t="s">
        <v>2034</v>
      </c>
      <c r="G48" s="22" t="s">
        <v>2437</v>
      </c>
      <c r="H48" s="1" t="s">
        <v>4166</v>
      </c>
      <c r="I48" s="1" t="s">
        <v>4127</v>
      </c>
      <c r="J48" s="63">
        <v>29104391</v>
      </c>
      <c r="K48" s="1" t="s">
        <v>2438</v>
      </c>
      <c r="L48" s="1">
        <v>3447000</v>
      </c>
      <c r="M48" s="1" t="s">
        <v>3735</v>
      </c>
      <c r="N48" s="1" t="s">
        <v>4181</v>
      </c>
      <c r="O48" s="1">
        <v>3428</v>
      </c>
      <c r="P48" s="64">
        <v>43073</v>
      </c>
      <c r="Q48" s="64">
        <v>46724</v>
      </c>
      <c r="R48" s="62" t="s">
        <v>2440</v>
      </c>
      <c r="S48" s="22" t="s">
        <v>2442</v>
      </c>
      <c r="T48" s="1" t="s">
        <v>2444</v>
      </c>
      <c r="U48" s="1" t="s">
        <v>43</v>
      </c>
      <c r="V48" s="1" t="s">
        <v>2733</v>
      </c>
      <c r="W48" s="2">
        <v>2571</v>
      </c>
      <c r="X48" s="60">
        <v>110031.79</v>
      </c>
      <c r="Y48" s="60">
        <v>104678.34</v>
      </c>
      <c r="Z48" s="2" t="s">
        <v>3753</v>
      </c>
      <c r="AA48" s="67">
        <v>43782</v>
      </c>
      <c r="AB48" s="2" t="s">
        <v>2474</v>
      </c>
      <c r="AC48" s="2">
        <v>6</v>
      </c>
      <c r="AD48" s="2">
        <v>28</v>
      </c>
      <c r="AE48" s="2">
        <v>2.596</v>
      </c>
      <c r="AF48" s="2">
        <v>24</v>
      </c>
      <c r="AG48" s="43">
        <f>AE48*AC48*AF48*0.0036</f>
        <v>1.3457664</v>
      </c>
      <c r="AH48" s="43">
        <f t="shared" si="2"/>
        <v>6.2802432</v>
      </c>
      <c r="AI48" s="2">
        <v>30</v>
      </c>
      <c r="AJ48" s="1">
        <v>12</v>
      </c>
      <c r="AK48" s="1">
        <v>0.61</v>
      </c>
      <c r="AL48" s="1">
        <v>0.68</v>
      </c>
      <c r="AM48" s="117">
        <f t="shared" si="0"/>
        <v>295.53030144</v>
      </c>
      <c r="AN48" s="118">
        <f t="shared" si="1"/>
        <v>1537.4035353600002</v>
      </c>
      <c r="AO48" s="2" t="s">
        <v>2405</v>
      </c>
    </row>
    <row r="49" spans="1:41" ht="12.75">
      <c r="A49" s="1">
        <v>41</v>
      </c>
      <c r="B49" s="1" t="s">
        <v>55</v>
      </c>
      <c r="C49" s="1" t="s">
        <v>4</v>
      </c>
      <c r="D49" s="1">
        <v>4</v>
      </c>
      <c r="E49" s="1" t="s">
        <v>1050</v>
      </c>
      <c r="F49" s="22" t="s">
        <v>1053</v>
      </c>
      <c r="G49" s="22" t="s">
        <v>2437</v>
      </c>
      <c r="H49" s="1" t="s">
        <v>4166</v>
      </c>
      <c r="I49" s="1" t="s">
        <v>4127</v>
      </c>
      <c r="J49" s="63">
        <v>29104391</v>
      </c>
      <c r="K49" s="1" t="s">
        <v>2438</v>
      </c>
      <c r="L49" s="1">
        <v>3447000</v>
      </c>
      <c r="M49" s="1" t="s">
        <v>3735</v>
      </c>
      <c r="N49" s="1" t="s">
        <v>4181</v>
      </c>
      <c r="O49" s="1">
        <v>3428</v>
      </c>
      <c r="P49" s="64">
        <v>43073</v>
      </c>
      <c r="Q49" s="64">
        <v>46724</v>
      </c>
      <c r="R49" s="62" t="s">
        <v>2440</v>
      </c>
      <c r="S49" s="22" t="s">
        <v>2442</v>
      </c>
      <c r="T49" s="9" t="s">
        <v>2443</v>
      </c>
      <c r="U49" s="22" t="s">
        <v>1052</v>
      </c>
      <c r="V49" s="22" t="s">
        <v>2734</v>
      </c>
      <c r="W49" s="22">
        <v>2569</v>
      </c>
      <c r="X49" s="60">
        <v>110118.03</v>
      </c>
      <c r="Y49" s="60">
        <v>104433.57</v>
      </c>
      <c r="Z49" s="2" t="s">
        <v>3741</v>
      </c>
      <c r="AA49" s="46"/>
      <c r="AB49" s="46"/>
      <c r="AC49" s="46"/>
      <c r="AD49" s="46"/>
      <c r="AE49" s="46"/>
      <c r="AF49" s="46"/>
      <c r="AG49" s="43"/>
      <c r="AH49" s="43"/>
      <c r="AI49" s="2"/>
      <c r="AJ49" s="1"/>
      <c r="AK49" s="46"/>
      <c r="AL49" s="46"/>
      <c r="AM49" s="44">
        <f t="shared" si="0"/>
        <v>0</v>
      </c>
      <c r="AN49" s="45">
        <f t="shared" si="1"/>
        <v>0</v>
      </c>
      <c r="AO49" s="46"/>
    </row>
    <row r="50" spans="1:41" ht="12.75">
      <c r="A50" s="1">
        <v>42</v>
      </c>
      <c r="B50" s="1" t="s">
        <v>55</v>
      </c>
      <c r="C50" s="1" t="s">
        <v>4</v>
      </c>
      <c r="D50" s="1">
        <v>4</v>
      </c>
      <c r="E50" s="1" t="s">
        <v>1051</v>
      </c>
      <c r="F50" s="22" t="s">
        <v>1054</v>
      </c>
      <c r="G50" s="22" t="s">
        <v>2437</v>
      </c>
      <c r="H50" s="1" t="s">
        <v>4166</v>
      </c>
      <c r="I50" s="1" t="s">
        <v>4127</v>
      </c>
      <c r="J50" s="63">
        <v>29104391</v>
      </c>
      <c r="K50" s="1" t="s">
        <v>2438</v>
      </c>
      <c r="L50" s="1">
        <v>3447000</v>
      </c>
      <c r="M50" s="1" t="s">
        <v>3735</v>
      </c>
      <c r="N50" s="1" t="s">
        <v>4181</v>
      </c>
      <c r="O50" s="1">
        <v>3428</v>
      </c>
      <c r="P50" s="64">
        <v>43073</v>
      </c>
      <c r="Q50" s="64">
        <v>46724</v>
      </c>
      <c r="R50" s="62" t="s">
        <v>2440</v>
      </c>
      <c r="S50" s="22" t="s">
        <v>2442</v>
      </c>
      <c r="T50" s="9" t="s">
        <v>2443</v>
      </c>
      <c r="U50" s="22" t="s">
        <v>2735</v>
      </c>
      <c r="V50" s="22" t="s">
        <v>2736</v>
      </c>
      <c r="W50" s="22">
        <v>2565</v>
      </c>
      <c r="X50" s="60">
        <v>110266.82</v>
      </c>
      <c r="Y50" s="60">
        <v>104386.95</v>
      </c>
      <c r="Z50" s="2" t="s">
        <v>3741</v>
      </c>
      <c r="AA50" s="46"/>
      <c r="AB50" s="46"/>
      <c r="AC50" s="46"/>
      <c r="AD50" s="46"/>
      <c r="AE50" s="46"/>
      <c r="AF50" s="46"/>
      <c r="AG50" s="43"/>
      <c r="AH50" s="43"/>
      <c r="AI50" s="2"/>
      <c r="AJ50" s="1"/>
      <c r="AK50" s="46"/>
      <c r="AL50" s="46"/>
      <c r="AM50" s="44">
        <f t="shared" si="0"/>
        <v>0</v>
      </c>
      <c r="AN50" s="45">
        <f t="shared" si="1"/>
        <v>0</v>
      </c>
      <c r="AO50" s="46"/>
    </row>
    <row r="51" spans="1:41" ht="39.75" customHeight="1">
      <c r="A51" s="1">
        <v>43</v>
      </c>
      <c r="B51" s="1" t="s">
        <v>55</v>
      </c>
      <c r="C51" s="1" t="s">
        <v>4</v>
      </c>
      <c r="D51" s="1">
        <v>4</v>
      </c>
      <c r="E51" s="1" t="s">
        <v>431</v>
      </c>
      <c r="F51" s="1" t="s">
        <v>437</v>
      </c>
      <c r="G51" s="22" t="s">
        <v>2437</v>
      </c>
      <c r="H51" s="1" t="s">
        <v>4166</v>
      </c>
      <c r="I51" s="1" t="s">
        <v>4127</v>
      </c>
      <c r="J51" s="63">
        <v>29104391</v>
      </c>
      <c r="K51" s="1" t="s">
        <v>2438</v>
      </c>
      <c r="L51" s="1">
        <v>3447000</v>
      </c>
      <c r="M51" s="1" t="s">
        <v>3735</v>
      </c>
      <c r="N51" s="1" t="s">
        <v>4181</v>
      </c>
      <c r="O51" s="1">
        <v>3428</v>
      </c>
      <c r="P51" s="64">
        <v>43073</v>
      </c>
      <c r="Q51" s="64">
        <v>46724</v>
      </c>
      <c r="R51" s="62" t="s">
        <v>2440</v>
      </c>
      <c r="S51" s="22" t="s">
        <v>2442</v>
      </c>
      <c r="T51" s="9" t="s">
        <v>2443</v>
      </c>
      <c r="U51" s="1" t="s">
        <v>2378</v>
      </c>
      <c r="V51" s="1" t="s">
        <v>2737</v>
      </c>
      <c r="W51" s="1">
        <v>2565</v>
      </c>
      <c r="X51" s="60">
        <v>110356.53</v>
      </c>
      <c r="Y51" s="60">
        <v>104226.3</v>
      </c>
      <c r="Z51" s="2" t="s">
        <v>4046</v>
      </c>
      <c r="AA51" s="67"/>
      <c r="AB51" s="2"/>
      <c r="AC51" s="2"/>
      <c r="AD51" s="2"/>
      <c r="AE51" s="2"/>
      <c r="AF51" s="2"/>
      <c r="AG51" s="43"/>
      <c r="AH51" s="43"/>
      <c r="AI51" s="2"/>
      <c r="AJ51" s="1"/>
      <c r="AK51" s="1"/>
      <c r="AL51" s="1"/>
      <c r="AM51" s="117">
        <f>AVERAGE(AM52:AM53)</f>
        <v>10359.815500799998</v>
      </c>
      <c r="AN51" s="117">
        <f>AVERAGE(AN52:AN53)</f>
        <v>12863.0965248</v>
      </c>
      <c r="AO51" s="2" t="s">
        <v>2413</v>
      </c>
    </row>
    <row r="52" spans="1:41" ht="39.75" customHeight="1">
      <c r="A52" s="1"/>
      <c r="B52" s="1"/>
      <c r="C52" s="1"/>
      <c r="D52" s="1"/>
      <c r="E52" s="1"/>
      <c r="F52" s="1"/>
      <c r="G52" s="22"/>
      <c r="H52" s="1"/>
      <c r="I52" s="1"/>
      <c r="J52" s="63"/>
      <c r="K52" s="1"/>
      <c r="L52" s="1"/>
      <c r="M52" s="1"/>
      <c r="N52" s="1"/>
      <c r="O52" s="1"/>
      <c r="P52" s="64"/>
      <c r="Q52" s="64"/>
      <c r="R52" s="62"/>
      <c r="S52" s="22"/>
      <c r="T52" s="9"/>
      <c r="U52" s="1"/>
      <c r="V52" s="1"/>
      <c r="W52" s="1"/>
      <c r="X52" s="60"/>
      <c r="Y52" s="60"/>
      <c r="Z52" s="2" t="s">
        <v>3753</v>
      </c>
      <c r="AA52" s="67">
        <v>43784</v>
      </c>
      <c r="AB52" s="2" t="s">
        <v>3774</v>
      </c>
      <c r="AC52" s="2">
        <v>61</v>
      </c>
      <c r="AD52" s="2">
        <v>208</v>
      </c>
      <c r="AE52" s="2">
        <v>4.44</v>
      </c>
      <c r="AF52" s="2">
        <v>24</v>
      </c>
      <c r="AG52" s="102">
        <f>AE52*AC52*AF52*0.0036</f>
        <v>23.400576</v>
      </c>
      <c r="AH52" s="102">
        <f>AE52*AD52*AF52*0.0036</f>
        <v>79.792128</v>
      </c>
      <c r="AI52" s="2">
        <v>30</v>
      </c>
      <c r="AJ52" s="1">
        <v>12</v>
      </c>
      <c r="AK52" s="1">
        <v>0.5</v>
      </c>
      <c r="AL52" s="1">
        <v>0.57</v>
      </c>
      <c r="AM52" s="127">
        <f>AG52*AI52*AJ52*AK52</f>
        <v>4212.10368</v>
      </c>
      <c r="AN52" s="128">
        <f>AH52*AI52*AJ52*AL52</f>
        <v>16373.3446656</v>
      </c>
      <c r="AO52" s="2"/>
    </row>
    <row r="53" spans="1:41" ht="39.75" customHeight="1">
      <c r="A53" s="1"/>
      <c r="B53" s="1"/>
      <c r="C53" s="1"/>
      <c r="D53" s="1"/>
      <c r="E53" s="1"/>
      <c r="F53" s="1"/>
      <c r="G53" s="22"/>
      <c r="H53" s="1"/>
      <c r="I53" s="1"/>
      <c r="J53" s="63"/>
      <c r="K53" s="1"/>
      <c r="L53" s="1"/>
      <c r="M53" s="1"/>
      <c r="N53" s="1"/>
      <c r="O53" s="1"/>
      <c r="P53" s="64"/>
      <c r="Q53" s="64"/>
      <c r="R53" s="62"/>
      <c r="S53" s="22"/>
      <c r="T53" s="9"/>
      <c r="U53" s="1"/>
      <c r="V53" s="1"/>
      <c r="W53" s="1"/>
      <c r="X53" s="60"/>
      <c r="Y53" s="60"/>
      <c r="Z53" s="2" t="s">
        <v>3772</v>
      </c>
      <c r="AA53" s="67">
        <v>43700</v>
      </c>
      <c r="AB53" s="2" t="s">
        <v>3773</v>
      </c>
      <c r="AC53" s="2">
        <v>322</v>
      </c>
      <c r="AD53" s="2">
        <v>187</v>
      </c>
      <c r="AE53" s="2">
        <v>2.01</v>
      </c>
      <c r="AF53" s="2">
        <v>24</v>
      </c>
      <c r="AG53" s="102">
        <f>AE53*AC53*AF53*0.0036</f>
        <v>55.919807999999996</v>
      </c>
      <c r="AH53" s="102">
        <f>AE53*AD53*AF53*0.0036</f>
        <v>32.475168</v>
      </c>
      <c r="AI53" s="2">
        <v>30</v>
      </c>
      <c r="AJ53" s="1">
        <v>12</v>
      </c>
      <c r="AK53" s="1">
        <v>0.82</v>
      </c>
      <c r="AL53" s="1">
        <v>0.8</v>
      </c>
      <c r="AM53" s="127">
        <f>AG53*AI53*AJ53*AK53</f>
        <v>16507.527321599995</v>
      </c>
      <c r="AN53" s="128">
        <f>AH53*AI53*AJ53*AL53</f>
        <v>9352.848383999999</v>
      </c>
      <c r="AO53" s="2"/>
    </row>
    <row r="54" spans="1:41" ht="74.25" customHeight="1">
      <c r="A54" s="1">
        <v>44</v>
      </c>
      <c r="B54" s="1" t="s">
        <v>55</v>
      </c>
      <c r="C54" s="1" t="s">
        <v>4</v>
      </c>
      <c r="D54" s="1">
        <v>4</v>
      </c>
      <c r="E54" s="1" t="s">
        <v>2355</v>
      </c>
      <c r="F54" s="1" t="s">
        <v>2356</v>
      </c>
      <c r="G54" s="22" t="s">
        <v>2437</v>
      </c>
      <c r="H54" s="1" t="s">
        <v>4166</v>
      </c>
      <c r="I54" s="1" t="s">
        <v>4127</v>
      </c>
      <c r="J54" s="63">
        <v>29104391</v>
      </c>
      <c r="K54" s="1" t="s">
        <v>2438</v>
      </c>
      <c r="L54" s="1">
        <v>3447000</v>
      </c>
      <c r="M54" s="1" t="s">
        <v>3735</v>
      </c>
      <c r="N54" s="1" t="s">
        <v>4181</v>
      </c>
      <c r="O54" s="1">
        <v>3428</v>
      </c>
      <c r="P54" s="64">
        <v>43073</v>
      </c>
      <c r="Q54" s="64">
        <v>46724</v>
      </c>
      <c r="R54" s="62" t="s">
        <v>2440</v>
      </c>
      <c r="S54" s="1" t="s">
        <v>2441</v>
      </c>
      <c r="T54" s="9" t="s">
        <v>2443</v>
      </c>
      <c r="U54" s="1" t="s">
        <v>2379</v>
      </c>
      <c r="V54" s="1" t="s">
        <v>2738</v>
      </c>
      <c r="W54" s="1">
        <v>2563</v>
      </c>
      <c r="X54" s="1">
        <v>110529.232</v>
      </c>
      <c r="Y54" s="1">
        <v>104210.245</v>
      </c>
      <c r="Z54" s="2" t="s">
        <v>4171</v>
      </c>
      <c r="AA54" s="67">
        <v>43651</v>
      </c>
      <c r="AB54" s="2" t="s">
        <v>3775</v>
      </c>
      <c r="AC54" s="2">
        <v>47.9</v>
      </c>
      <c r="AD54" s="2">
        <v>40</v>
      </c>
      <c r="AE54" s="2">
        <v>32.62</v>
      </c>
      <c r="AF54" s="2">
        <v>24</v>
      </c>
      <c r="AG54" s="43">
        <f>AE54*AC54*AF54*0.0036</f>
        <v>134.9998272</v>
      </c>
      <c r="AH54" s="43">
        <f t="shared" si="2"/>
        <v>112.73471999999998</v>
      </c>
      <c r="AI54" s="2">
        <v>30</v>
      </c>
      <c r="AJ54" s="1">
        <v>12</v>
      </c>
      <c r="AK54" s="1">
        <v>0.82</v>
      </c>
      <c r="AL54" s="1">
        <v>0.8</v>
      </c>
      <c r="AM54" s="44">
        <f t="shared" si="0"/>
        <v>39851.948989439996</v>
      </c>
      <c r="AN54" s="45">
        <f t="shared" si="1"/>
        <v>32467.599359999993</v>
      </c>
      <c r="AO54" s="2" t="s">
        <v>2413</v>
      </c>
    </row>
    <row r="55" spans="1:41" ht="57.75" customHeight="1">
      <c r="A55" s="1">
        <v>45</v>
      </c>
      <c r="B55" s="1" t="s">
        <v>55</v>
      </c>
      <c r="C55" s="1" t="s">
        <v>4</v>
      </c>
      <c r="D55" s="1">
        <v>4</v>
      </c>
      <c r="E55" s="1" t="s">
        <v>2357</v>
      </c>
      <c r="F55" s="1" t="s">
        <v>2358</v>
      </c>
      <c r="G55" s="22" t="s">
        <v>2437</v>
      </c>
      <c r="H55" s="1" t="s">
        <v>4166</v>
      </c>
      <c r="I55" s="1" t="s">
        <v>4127</v>
      </c>
      <c r="J55" s="63">
        <v>29104391</v>
      </c>
      <c r="K55" s="1" t="s">
        <v>2438</v>
      </c>
      <c r="L55" s="1">
        <v>3447000</v>
      </c>
      <c r="M55" s="1" t="s">
        <v>3735</v>
      </c>
      <c r="N55" s="1" t="s">
        <v>4181</v>
      </c>
      <c r="O55" s="1">
        <v>3428</v>
      </c>
      <c r="P55" s="64">
        <v>43073</v>
      </c>
      <c r="Q55" s="64">
        <v>46724</v>
      </c>
      <c r="R55" s="62" t="s">
        <v>2440</v>
      </c>
      <c r="S55" s="29" t="s">
        <v>2441</v>
      </c>
      <c r="T55" s="1" t="s">
        <v>2443</v>
      </c>
      <c r="U55" s="1" t="s">
        <v>2380</v>
      </c>
      <c r="V55" s="1" t="s">
        <v>2739</v>
      </c>
      <c r="W55" s="1">
        <v>2562</v>
      </c>
      <c r="X55" s="60">
        <v>110691.16</v>
      </c>
      <c r="Y55" s="60">
        <v>104165.2</v>
      </c>
      <c r="Z55" s="2" t="s">
        <v>4172</v>
      </c>
      <c r="AA55" s="67">
        <v>43651</v>
      </c>
      <c r="AB55" s="2" t="s">
        <v>3764</v>
      </c>
      <c r="AC55" s="2">
        <v>126</v>
      </c>
      <c r="AD55" s="2">
        <v>48</v>
      </c>
      <c r="AE55" s="2">
        <v>59.64</v>
      </c>
      <c r="AF55" s="2">
        <v>24</v>
      </c>
      <c r="AG55" s="43">
        <f>AE55*AC55*AF55*0.0036</f>
        <v>649.264896</v>
      </c>
      <c r="AH55" s="43">
        <f t="shared" si="2"/>
        <v>247.33900799999998</v>
      </c>
      <c r="AI55" s="2">
        <v>30</v>
      </c>
      <c r="AJ55" s="1">
        <v>12</v>
      </c>
      <c r="AK55" s="1">
        <v>0.52</v>
      </c>
      <c r="AL55" s="1">
        <v>0.59</v>
      </c>
      <c r="AM55" s="44">
        <f t="shared" si="0"/>
        <v>121542.38853119999</v>
      </c>
      <c r="AN55" s="45">
        <f t="shared" si="1"/>
        <v>52534.805299199994</v>
      </c>
      <c r="AO55" s="2" t="s">
        <v>2413</v>
      </c>
    </row>
    <row r="56" spans="1:41" ht="61.5" customHeight="1">
      <c r="A56" s="1">
        <v>46</v>
      </c>
      <c r="B56" s="1" t="s">
        <v>55</v>
      </c>
      <c r="C56" s="1" t="s">
        <v>4</v>
      </c>
      <c r="D56" s="1">
        <v>4</v>
      </c>
      <c r="E56" s="1" t="s">
        <v>432</v>
      </c>
      <c r="F56" s="1" t="s">
        <v>2036</v>
      </c>
      <c r="G56" s="22" t="s">
        <v>2437</v>
      </c>
      <c r="H56" s="1" t="s">
        <v>4166</v>
      </c>
      <c r="I56" s="1" t="s">
        <v>4127</v>
      </c>
      <c r="J56" s="63">
        <v>29104391</v>
      </c>
      <c r="K56" s="1" t="s">
        <v>2438</v>
      </c>
      <c r="L56" s="1">
        <v>3447000</v>
      </c>
      <c r="M56" s="1" t="s">
        <v>3735</v>
      </c>
      <c r="N56" s="1" t="s">
        <v>4181</v>
      </c>
      <c r="O56" s="1">
        <v>3428</v>
      </c>
      <c r="P56" s="64">
        <v>43073</v>
      </c>
      <c r="Q56" s="64">
        <v>46724</v>
      </c>
      <c r="R56" s="62" t="s">
        <v>2440</v>
      </c>
      <c r="S56" s="29" t="s">
        <v>2441</v>
      </c>
      <c r="T56" s="9" t="s">
        <v>2443</v>
      </c>
      <c r="U56" s="2" t="s">
        <v>11</v>
      </c>
      <c r="V56" s="2" t="s">
        <v>2740</v>
      </c>
      <c r="W56" s="2">
        <v>2559</v>
      </c>
      <c r="X56" s="60">
        <v>110785.18</v>
      </c>
      <c r="Y56" s="60">
        <v>104052.34</v>
      </c>
      <c r="Z56" s="2" t="s">
        <v>3776</v>
      </c>
      <c r="AA56" s="46"/>
      <c r="AB56" s="46"/>
      <c r="AC56" s="46"/>
      <c r="AD56" s="46"/>
      <c r="AE56" s="46"/>
      <c r="AF56" s="46"/>
      <c r="AG56" s="43"/>
      <c r="AH56" s="43"/>
      <c r="AI56" s="2"/>
      <c r="AJ56" s="1"/>
      <c r="AK56" s="46"/>
      <c r="AL56" s="46"/>
      <c r="AM56" s="117">
        <v>3048.710130221694</v>
      </c>
      <c r="AN56" s="118">
        <v>1719.2979956018503</v>
      </c>
      <c r="AO56" s="2" t="s">
        <v>2413</v>
      </c>
    </row>
    <row r="57" spans="1:41" ht="44.25" customHeight="1">
      <c r="A57" s="1">
        <v>47</v>
      </c>
      <c r="B57" s="1" t="s">
        <v>55</v>
      </c>
      <c r="C57" s="1" t="s">
        <v>4</v>
      </c>
      <c r="D57" s="1">
        <v>4</v>
      </c>
      <c r="E57" s="1" t="s">
        <v>433</v>
      </c>
      <c r="F57" s="1" t="s">
        <v>2037</v>
      </c>
      <c r="G57" s="22" t="s">
        <v>2437</v>
      </c>
      <c r="H57" s="1" t="s">
        <v>4166</v>
      </c>
      <c r="I57" s="1" t="s">
        <v>4127</v>
      </c>
      <c r="J57" s="63">
        <v>29104391</v>
      </c>
      <c r="K57" s="1" t="s">
        <v>2438</v>
      </c>
      <c r="L57" s="1">
        <v>3447000</v>
      </c>
      <c r="M57" s="1" t="s">
        <v>3735</v>
      </c>
      <c r="N57" s="1" t="s">
        <v>4181</v>
      </c>
      <c r="O57" s="1">
        <v>3428</v>
      </c>
      <c r="P57" s="64">
        <v>43073</v>
      </c>
      <c r="Q57" s="64">
        <v>46724</v>
      </c>
      <c r="R57" s="62" t="s">
        <v>2440</v>
      </c>
      <c r="S57" s="22" t="s">
        <v>2442</v>
      </c>
      <c r="T57" s="9" t="s">
        <v>2443</v>
      </c>
      <c r="U57" s="2" t="s">
        <v>2381</v>
      </c>
      <c r="V57" s="2" t="s">
        <v>2741</v>
      </c>
      <c r="W57" s="2">
        <v>2559</v>
      </c>
      <c r="X57" s="60">
        <v>110780.28</v>
      </c>
      <c r="Y57" s="60">
        <v>104034.83</v>
      </c>
      <c r="Z57" s="2" t="s">
        <v>3753</v>
      </c>
      <c r="AA57" s="67">
        <v>43784</v>
      </c>
      <c r="AB57" s="2" t="s">
        <v>2410</v>
      </c>
      <c r="AC57" s="2">
        <v>67</v>
      </c>
      <c r="AD57" s="2">
        <v>50</v>
      </c>
      <c r="AE57" s="2">
        <v>15.999</v>
      </c>
      <c r="AF57" s="2">
        <v>24</v>
      </c>
      <c r="AG57" s="43">
        <f>AE57*AC57*AF57*0.0036</f>
        <v>92.6150112</v>
      </c>
      <c r="AH57" s="43">
        <f t="shared" si="2"/>
        <v>69.11568000000001</v>
      </c>
      <c r="AI57" s="2">
        <v>30</v>
      </c>
      <c r="AJ57" s="1">
        <v>12</v>
      </c>
      <c r="AK57" s="1">
        <v>0.59</v>
      </c>
      <c r="AL57" s="1">
        <v>0.58</v>
      </c>
      <c r="AM57" s="117">
        <f>AG57*AI57*AJ57*AK57</f>
        <v>19671.42837888</v>
      </c>
      <c r="AN57" s="118">
        <f>AH57*AI57*AJ57*AL57</f>
        <v>14431.353984</v>
      </c>
      <c r="AO57" s="2" t="s">
        <v>2413</v>
      </c>
    </row>
    <row r="58" spans="1:41" ht="48" customHeight="1">
      <c r="A58" s="1">
        <v>48</v>
      </c>
      <c r="B58" s="1" t="s">
        <v>55</v>
      </c>
      <c r="C58" s="1" t="s">
        <v>4</v>
      </c>
      <c r="D58" s="1">
        <v>4</v>
      </c>
      <c r="E58" s="1" t="s">
        <v>438</v>
      </c>
      <c r="F58" s="1" t="s">
        <v>2038</v>
      </c>
      <c r="G58" s="22" t="s">
        <v>2437</v>
      </c>
      <c r="H58" s="1" t="s">
        <v>4166</v>
      </c>
      <c r="I58" s="1" t="s">
        <v>4127</v>
      </c>
      <c r="J58" s="63">
        <v>29104391</v>
      </c>
      <c r="K58" s="1" t="s">
        <v>2438</v>
      </c>
      <c r="L58" s="1">
        <v>3447000</v>
      </c>
      <c r="M58" s="1" t="s">
        <v>3735</v>
      </c>
      <c r="N58" s="1" t="s">
        <v>4181</v>
      </c>
      <c r="O58" s="1">
        <v>3428</v>
      </c>
      <c r="P58" s="64">
        <v>43073</v>
      </c>
      <c r="Q58" s="64">
        <v>46724</v>
      </c>
      <c r="R58" s="62" t="s">
        <v>2440</v>
      </c>
      <c r="S58" s="29" t="s">
        <v>2441</v>
      </c>
      <c r="T58" s="9" t="s">
        <v>2443</v>
      </c>
      <c r="U58" s="2" t="s">
        <v>12</v>
      </c>
      <c r="V58" s="2" t="s">
        <v>2742</v>
      </c>
      <c r="W58" s="2">
        <v>2558</v>
      </c>
      <c r="X58" s="60">
        <v>110885.01</v>
      </c>
      <c r="Y58" s="60">
        <v>103758.2</v>
      </c>
      <c r="Z58" s="2" t="s">
        <v>3776</v>
      </c>
      <c r="AA58" s="46"/>
      <c r="AB58" s="46"/>
      <c r="AC58" s="46"/>
      <c r="AD58" s="46"/>
      <c r="AE58" s="46"/>
      <c r="AF58" s="46"/>
      <c r="AG58" s="43"/>
      <c r="AH58" s="43"/>
      <c r="AI58" s="2"/>
      <c r="AJ58" s="1"/>
      <c r="AK58" s="46"/>
      <c r="AL58" s="46"/>
      <c r="AM58" s="117">
        <v>1905.044179905477</v>
      </c>
      <c r="AN58" s="118">
        <v>1727.52008713603</v>
      </c>
      <c r="AO58" s="2" t="s">
        <v>2413</v>
      </c>
    </row>
    <row r="59" spans="1:41" ht="36" customHeight="1">
      <c r="A59" s="1">
        <v>49</v>
      </c>
      <c r="B59" s="1" t="s">
        <v>55</v>
      </c>
      <c r="C59" s="1" t="s">
        <v>4</v>
      </c>
      <c r="D59" s="1">
        <v>4</v>
      </c>
      <c r="E59" s="1" t="s">
        <v>436</v>
      </c>
      <c r="F59" s="1" t="s">
        <v>2039</v>
      </c>
      <c r="G59" s="22" t="s">
        <v>2437</v>
      </c>
      <c r="H59" s="1" t="s">
        <v>4166</v>
      </c>
      <c r="I59" s="1" t="s">
        <v>4127</v>
      </c>
      <c r="J59" s="63">
        <v>29104391</v>
      </c>
      <c r="K59" s="1" t="s">
        <v>2438</v>
      </c>
      <c r="L59" s="1">
        <v>3447000</v>
      </c>
      <c r="M59" s="1" t="s">
        <v>3735</v>
      </c>
      <c r="N59" s="1" t="s">
        <v>4181</v>
      </c>
      <c r="O59" s="1">
        <v>3428</v>
      </c>
      <c r="P59" s="64">
        <v>43073</v>
      </c>
      <c r="Q59" s="64">
        <v>46724</v>
      </c>
      <c r="R59" s="62" t="s">
        <v>2440</v>
      </c>
      <c r="S59" s="22" t="s">
        <v>2442</v>
      </c>
      <c r="T59" s="9" t="s">
        <v>2443</v>
      </c>
      <c r="U59" s="1" t="s">
        <v>58</v>
      </c>
      <c r="V59" s="1" t="s">
        <v>2743</v>
      </c>
      <c r="W59" s="2">
        <v>2558</v>
      </c>
      <c r="X59" s="60">
        <v>110879.47</v>
      </c>
      <c r="Y59" s="60">
        <v>103731.25</v>
      </c>
      <c r="Z59" s="2" t="s">
        <v>3753</v>
      </c>
      <c r="AA59" s="67">
        <v>43788</v>
      </c>
      <c r="AB59" s="2" t="s">
        <v>3777</v>
      </c>
      <c r="AC59" s="2">
        <v>33</v>
      </c>
      <c r="AD59" s="2">
        <v>12</v>
      </c>
      <c r="AE59" s="2">
        <v>1.673</v>
      </c>
      <c r="AF59" s="2">
        <v>24</v>
      </c>
      <c r="AG59" s="43">
        <f>AE59*AC59*AF59*0.0036</f>
        <v>4.7700576</v>
      </c>
      <c r="AH59" s="43">
        <f t="shared" si="2"/>
        <v>1.7345664</v>
      </c>
      <c r="AI59" s="2">
        <v>30</v>
      </c>
      <c r="AJ59" s="1">
        <v>12</v>
      </c>
      <c r="AK59" s="1">
        <v>0.52</v>
      </c>
      <c r="AL59" s="1">
        <v>0.59</v>
      </c>
      <c r="AM59" s="117">
        <f t="shared" si="0"/>
        <v>892.9547827200001</v>
      </c>
      <c r="AN59" s="118">
        <f t="shared" si="1"/>
        <v>368.42190336000004</v>
      </c>
      <c r="AO59" s="2" t="s">
        <v>2413</v>
      </c>
    </row>
    <row r="60" spans="1:41" ht="12.75">
      <c r="A60" s="1">
        <v>50</v>
      </c>
      <c r="B60" s="1" t="s">
        <v>55</v>
      </c>
      <c r="C60" s="1" t="s">
        <v>4</v>
      </c>
      <c r="D60" s="1">
        <v>4</v>
      </c>
      <c r="E60" s="1" t="s">
        <v>1055</v>
      </c>
      <c r="F60" s="22" t="s">
        <v>1057</v>
      </c>
      <c r="G60" s="22" t="s">
        <v>2437</v>
      </c>
      <c r="H60" s="1" t="s">
        <v>4166</v>
      </c>
      <c r="I60" s="1" t="s">
        <v>4127</v>
      </c>
      <c r="J60" s="63">
        <v>29104391</v>
      </c>
      <c r="K60" s="1" t="s">
        <v>2438</v>
      </c>
      <c r="L60" s="1">
        <v>3447000</v>
      </c>
      <c r="M60" s="1" t="s">
        <v>3735</v>
      </c>
      <c r="N60" s="1" t="s">
        <v>4181</v>
      </c>
      <c r="O60" s="1">
        <v>3428</v>
      </c>
      <c r="P60" s="64">
        <v>43073</v>
      </c>
      <c r="Q60" s="64">
        <v>46724</v>
      </c>
      <c r="R60" s="62" t="s">
        <v>2440</v>
      </c>
      <c r="S60" s="29" t="s">
        <v>2441</v>
      </c>
      <c r="T60" s="9" t="s">
        <v>2443</v>
      </c>
      <c r="U60" s="22" t="s">
        <v>2744</v>
      </c>
      <c r="V60" s="22" t="s">
        <v>2745</v>
      </c>
      <c r="W60" s="22">
        <v>2557</v>
      </c>
      <c r="X60" s="60">
        <v>110903.43</v>
      </c>
      <c r="Y60" s="60">
        <v>103659.54</v>
      </c>
      <c r="Z60" s="2" t="s">
        <v>3741</v>
      </c>
      <c r="AA60" s="46"/>
      <c r="AB60" s="46"/>
      <c r="AC60" s="46"/>
      <c r="AD60" s="46"/>
      <c r="AE60" s="46"/>
      <c r="AF60" s="46"/>
      <c r="AG60" s="43"/>
      <c r="AH60" s="43"/>
      <c r="AI60" s="2"/>
      <c r="AJ60" s="1"/>
      <c r="AK60" s="46"/>
      <c r="AL60" s="46"/>
      <c r="AM60" s="44">
        <f t="shared" si="0"/>
        <v>0</v>
      </c>
      <c r="AN60" s="45">
        <f t="shared" si="1"/>
        <v>0</v>
      </c>
      <c r="AO60" s="46"/>
    </row>
    <row r="61" spans="1:41" ht="12.75">
      <c r="A61" s="1">
        <v>51</v>
      </c>
      <c r="B61" s="1" t="s">
        <v>55</v>
      </c>
      <c r="C61" s="1" t="s">
        <v>4</v>
      </c>
      <c r="D61" s="1">
        <v>4</v>
      </c>
      <c r="E61" s="1" t="s">
        <v>1056</v>
      </c>
      <c r="F61" s="22" t="s">
        <v>1058</v>
      </c>
      <c r="G61" s="22" t="s">
        <v>2437</v>
      </c>
      <c r="H61" s="1" t="s">
        <v>4166</v>
      </c>
      <c r="I61" s="1" t="s">
        <v>4127</v>
      </c>
      <c r="J61" s="63">
        <v>29104391</v>
      </c>
      <c r="K61" s="1" t="s">
        <v>2438</v>
      </c>
      <c r="L61" s="1">
        <v>3447000</v>
      </c>
      <c r="M61" s="1" t="s">
        <v>3735</v>
      </c>
      <c r="N61" s="1" t="s">
        <v>4181</v>
      </c>
      <c r="O61" s="1">
        <v>3428</v>
      </c>
      <c r="P61" s="64">
        <v>43073</v>
      </c>
      <c r="Q61" s="64">
        <v>46724</v>
      </c>
      <c r="R61" s="62" t="s">
        <v>2440</v>
      </c>
      <c r="S61" s="22" t="s">
        <v>2442</v>
      </c>
      <c r="T61" s="9" t="s">
        <v>2443</v>
      </c>
      <c r="U61" s="22" t="s">
        <v>2746</v>
      </c>
      <c r="V61" s="22" t="s">
        <v>2747</v>
      </c>
      <c r="W61" s="22">
        <v>2554</v>
      </c>
      <c r="X61" s="60">
        <v>110922.16</v>
      </c>
      <c r="Y61" s="60">
        <v>103530.04</v>
      </c>
      <c r="Z61" s="2" t="s">
        <v>3741</v>
      </c>
      <c r="AA61" s="46"/>
      <c r="AB61" s="46"/>
      <c r="AC61" s="46"/>
      <c r="AD61" s="46"/>
      <c r="AE61" s="46"/>
      <c r="AF61" s="46"/>
      <c r="AG61" s="43"/>
      <c r="AH61" s="43"/>
      <c r="AI61" s="2"/>
      <c r="AJ61" s="1"/>
      <c r="AK61" s="46"/>
      <c r="AL61" s="46"/>
      <c r="AM61" s="44">
        <f t="shared" si="0"/>
        <v>0</v>
      </c>
      <c r="AN61" s="45">
        <f t="shared" si="1"/>
        <v>0</v>
      </c>
      <c r="AO61" s="46"/>
    </row>
    <row r="62" spans="1:41" ht="43.5" customHeight="1">
      <c r="A62" s="1">
        <v>52</v>
      </c>
      <c r="B62" s="1" t="s">
        <v>55</v>
      </c>
      <c r="C62" s="1" t="s">
        <v>4</v>
      </c>
      <c r="D62" s="1">
        <v>4</v>
      </c>
      <c r="E62" s="1" t="s">
        <v>439</v>
      </c>
      <c r="F62" s="1" t="s">
        <v>2040</v>
      </c>
      <c r="G62" s="22" t="s">
        <v>2437</v>
      </c>
      <c r="H62" s="1" t="s">
        <v>4166</v>
      </c>
      <c r="I62" s="1" t="s">
        <v>4127</v>
      </c>
      <c r="J62" s="63">
        <v>29104391</v>
      </c>
      <c r="K62" s="1" t="s">
        <v>2438</v>
      </c>
      <c r="L62" s="1">
        <v>3447000</v>
      </c>
      <c r="M62" s="1" t="s">
        <v>3735</v>
      </c>
      <c r="N62" s="1" t="s">
        <v>4181</v>
      </c>
      <c r="O62" s="1">
        <v>3428</v>
      </c>
      <c r="P62" s="64">
        <v>43073</v>
      </c>
      <c r="Q62" s="64">
        <v>46724</v>
      </c>
      <c r="R62" s="62" t="s">
        <v>2440</v>
      </c>
      <c r="S62" s="22" t="s">
        <v>2442</v>
      </c>
      <c r="T62" s="9" t="s">
        <v>2443</v>
      </c>
      <c r="U62" s="1" t="s">
        <v>13</v>
      </c>
      <c r="V62" s="1" t="s">
        <v>2748</v>
      </c>
      <c r="W62" s="22">
        <v>2554</v>
      </c>
      <c r="X62" s="60">
        <v>110944.27</v>
      </c>
      <c r="Y62" s="60">
        <v>103432.61</v>
      </c>
      <c r="Z62" s="2" t="s">
        <v>3778</v>
      </c>
      <c r="AA62" s="67"/>
      <c r="AB62" s="50"/>
      <c r="AC62" s="103"/>
      <c r="AD62" s="103"/>
      <c r="AE62" s="103"/>
      <c r="AF62" s="103"/>
      <c r="AG62" s="103"/>
      <c r="AH62" s="103"/>
      <c r="AI62" s="103"/>
      <c r="AJ62" s="103"/>
      <c r="AK62" s="103"/>
      <c r="AL62" s="103"/>
      <c r="AM62" s="117">
        <f t="shared" si="0"/>
        <v>0</v>
      </c>
      <c r="AN62" s="118">
        <f t="shared" si="1"/>
        <v>0</v>
      </c>
      <c r="AO62" s="46"/>
    </row>
    <row r="63" spans="1:41" ht="12.75">
      <c r="A63" s="1">
        <v>53</v>
      </c>
      <c r="B63" s="1" t="s">
        <v>55</v>
      </c>
      <c r="C63" s="1" t="s">
        <v>4</v>
      </c>
      <c r="D63" s="1">
        <v>4</v>
      </c>
      <c r="E63" s="1" t="s">
        <v>1059</v>
      </c>
      <c r="F63" s="22" t="s">
        <v>1061</v>
      </c>
      <c r="G63" s="22" t="s">
        <v>2437</v>
      </c>
      <c r="H63" s="1" t="s">
        <v>4166</v>
      </c>
      <c r="I63" s="1" t="s">
        <v>4127</v>
      </c>
      <c r="J63" s="63">
        <v>29104391</v>
      </c>
      <c r="K63" s="1" t="s">
        <v>2438</v>
      </c>
      <c r="L63" s="1">
        <v>3447000</v>
      </c>
      <c r="M63" s="1" t="s">
        <v>3735</v>
      </c>
      <c r="N63" s="1" t="s">
        <v>4181</v>
      </c>
      <c r="O63" s="1">
        <v>3428</v>
      </c>
      <c r="P63" s="64">
        <v>43073</v>
      </c>
      <c r="Q63" s="64">
        <v>46724</v>
      </c>
      <c r="R63" s="62" t="s">
        <v>2440</v>
      </c>
      <c r="S63" s="29" t="s">
        <v>2441</v>
      </c>
      <c r="T63" s="9" t="s">
        <v>2443</v>
      </c>
      <c r="U63" s="22" t="s">
        <v>2749</v>
      </c>
      <c r="V63" s="22" t="s">
        <v>2750</v>
      </c>
      <c r="W63" s="22">
        <v>2554</v>
      </c>
      <c r="X63" s="60">
        <v>110953.18</v>
      </c>
      <c r="Y63" s="60">
        <v>103430.76</v>
      </c>
      <c r="Z63" s="2" t="s">
        <v>3741</v>
      </c>
      <c r="AA63" s="46"/>
      <c r="AB63" s="46"/>
      <c r="AC63" s="46"/>
      <c r="AD63" s="46"/>
      <c r="AE63" s="46"/>
      <c r="AF63" s="46"/>
      <c r="AG63" s="43"/>
      <c r="AH63" s="43"/>
      <c r="AI63" s="2"/>
      <c r="AJ63" s="1"/>
      <c r="AK63" s="46"/>
      <c r="AL63" s="46"/>
      <c r="AM63" s="44">
        <f t="shared" si="0"/>
        <v>0</v>
      </c>
      <c r="AN63" s="45">
        <f t="shared" si="1"/>
        <v>0</v>
      </c>
      <c r="AO63" s="46"/>
    </row>
    <row r="64" spans="1:41" ht="12.75">
      <c r="A64" s="1">
        <v>54</v>
      </c>
      <c r="B64" s="1" t="s">
        <v>55</v>
      </c>
      <c r="C64" s="1" t="s">
        <v>4</v>
      </c>
      <c r="D64" s="1">
        <v>4</v>
      </c>
      <c r="E64" s="1" t="s">
        <v>1060</v>
      </c>
      <c r="F64" s="22" t="s">
        <v>1061</v>
      </c>
      <c r="G64" s="22" t="s">
        <v>2437</v>
      </c>
      <c r="H64" s="1" t="s">
        <v>4166</v>
      </c>
      <c r="I64" s="1" t="s">
        <v>4127</v>
      </c>
      <c r="J64" s="63">
        <v>29104391</v>
      </c>
      <c r="K64" s="1" t="s">
        <v>2438</v>
      </c>
      <c r="L64" s="1">
        <v>3447000</v>
      </c>
      <c r="M64" s="1" t="s">
        <v>3735</v>
      </c>
      <c r="N64" s="1" t="s">
        <v>4181</v>
      </c>
      <c r="O64" s="1">
        <v>3428</v>
      </c>
      <c r="P64" s="64">
        <v>43073</v>
      </c>
      <c r="Q64" s="64">
        <v>46724</v>
      </c>
      <c r="R64" s="62" t="s">
        <v>2440</v>
      </c>
      <c r="S64" s="29" t="s">
        <v>2441</v>
      </c>
      <c r="T64" s="9" t="s">
        <v>2443</v>
      </c>
      <c r="U64" s="22" t="s">
        <v>2751</v>
      </c>
      <c r="V64" s="22" t="s">
        <v>2752</v>
      </c>
      <c r="W64" s="22">
        <v>2554</v>
      </c>
      <c r="X64" s="60">
        <v>110955.02</v>
      </c>
      <c r="Y64" s="60">
        <v>103423.98</v>
      </c>
      <c r="Z64" s="2" t="s">
        <v>3741</v>
      </c>
      <c r="AA64" s="46"/>
      <c r="AB64" s="46"/>
      <c r="AC64" s="46"/>
      <c r="AD64" s="46"/>
      <c r="AE64" s="46"/>
      <c r="AF64" s="46"/>
      <c r="AG64" s="43"/>
      <c r="AH64" s="43"/>
      <c r="AI64" s="2"/>
      <c r="AJ64" s="1"/>
      <c r="AK64" s="46"/>
      <c r="AL64" s="46"/>
      <c r="AM64" s="44">
        <f t="shared" si="0"/>
        <v>0</v>
      </c>
      <c r="AN64" s="45">
        <f t="shared" si="1"/>
        <v>0</v>
      </c>
      <c r="AO64" s="46"/>
    </row>
    <row r="65" spans="1:41" ht="31.5" customHeight="1">
      <c r="A65" s="1">
        <v>55</v>
      </c>
      <c r="B65" s="1" t="s">
        <v>55</v>
      </c>
      <c r="C65" s="1" t="s">
        <v>4</v>
      </c>
      <c r="D65" s="1">
        <v>4</v>
      </c>
      <c r="E65" s="1" t="s">
        <v>440</v>
      </c>
      <c r="F65" s="1" t="s">
        <v>2041</v>
      </c>
      <c r="G65" s="22" t="s">
        <v>2437</v>
      </c>
      <c r="H65" s="1" t="s">
        <v>4166</v>
      </c>
      <c r="I65" s="1" t="s">
        <v>4127</v>
      </c>
      <c r="J65" s="63">
        <v>29104391</v>
      </c>
      <c r="K65" s="1" t="s">
        <v>2438</v>
      </c>
      <c r="L65" s="1">
        <v>3447000</v>
      </c>
      <c r="M65" s="1" t="s">
        <v>3735</v>
      </c>
      <c r="N65" s="1" t="s">
        <v>4181</v>
      </c>
      <c r="O65" s="1">
        <v>3428</v>
      </c>
      <c r="P65" s="64">
        <v>43073</v>
      </c>
      <c r="Q65" s="64">
        <v>46724</v>
      </c>
      <c r="R65" s="62" t="s">
        <v>2440</v>
      </c>
      <c r="S65" s="22" t="s">
        <v>2442</v>
      </c>
      <c r="T65" s="9" t="s">
        <v>2443</v>
      </c>
      <c r="U65" s="1" t="s">
        <v>59</v>
      </c>
      <c r="V65" s="1" t="s">
        <v>2753</v>
      </c>
      <c r="W65" s="1">
        <v>2553</v>
      </c>
      <c r="X65" s="60">
        <v>111088.02</v>
      </c>
      <c r="Y65" s="60">
        <v>103020.38</v>
      </c>
      <c r="Z65" s="2" t="s">
        <v>4046</v>
      </c>
      <c r="AA65" s="67"/>
      <c r="AB65" s="2"/>
      <c r="AC65" s="2"/>
      <c r="AD65" s="2"/>
      <c r="AE65" s="2"/>
      <c r="AF65" s="2"/>
      <c r="AG65" s="43"/>
      <c r="AH65" s="43"/>
      <c r="AI65" s="2"/>
      <c r="AJ65" s="1"/>
      <c r="AK65" s="1"/>
      <c r="AL65" s="1"/>
      <c r="AM65" s="117">
        <f>AVERAGE(AM66:AM67)</f>
        <v>160947.84706559998</v>
      </c>
      <c r="AN65" s="117">
        <f>AVERAGE(AN66:AN67)</f>
        <v>110760.28148736</v>
      </c>
      <c r="AO65" s="2" t="s">
        <v>2413</v>
      </c>
    </row>
    <row r="66" spans="1:41" ht="33" customHeight="1">
      <c r="A66" s="1"/>
      <c r="B66" s="1"/>
      <c r="C66" s="1"/>
      <c r="D66" s="1"/>
      <c r="E66" s="1"/>
      <c r="F66" s="1"/>
      <c r="G66" s="22"/>
      <c r="H66" s="1"/>
      <c r="I66" s="1"/>
      <c r="J66" s="63"/>
      <c r="K66" s="1"/>
      <c r="L66" s="1"/>
      <c r="M66" s="1"/>
      <c r="N66" s="1"/>
      <c r="O66" s="1"/>
      <c r="P66" s="64"/>
      <c r="Q66" s="64"/>
      <c r="R66" s="62"/>
      <c r="S66" s="22"/>
      <c r="T66" s="9"/>
      <c r="U66" s="1"/>
      <c r="V66" s="1"/>
      <c r="W66" s="1"/>
      <c r="X66" s="60"/>
      <c r="Y66" s="60"/>
      <c r="Z66" s="2" t="s">
        <v>3753</v>
      </c>
      <c r="AA66" s="67">
        <v>43788</v>
      </c>
      <c r="AB66" s="2" t="s">
        <v>2546</v>
      </c>
      <c r="AC66" s="2">
        <v>155</v>
      </c>
      <c r="AD66" s="2">
        <v>116</v>
      </c>
      <c r="AE66" s="2">
        <v>33.872</v>
      </c>
      <c r="AF66" s="2">
        <v>24</v>
      </c>
      <c r="AG66" s="102">
        <f>AE66*AC66*AF66*0.0036</f>
        <v>453.61382399999997</v>
      </c>
      <c r="AH66" s="102">
        <f>AE66*AD66*AF66*0.0036</f>
        <v>339.4787328</v>
      </c>
      <c r="AI66" s="2">
        <v>30</v>
      </c>
      <c r="AJ66" s="1">
        <v>12</v>
      </c>
      <c r="AK66" s="1">
        <v>0.58</v>
      </c>
      <c r="AL66" s="1">
        <v>0.59</v>
      </c>
      <c r="AM66" s="127">
        <f>AG66*AI66*AJ66*AK66</f>
        <v>94714.56645119998</v>
      </c>
      <c r="AN66" s="128">
        <f>AH66*AI66*AJ66*AL66</f>
        <v>72105.28284671999</v>
      </c>
      <c r="AO66" s="2"/>
    </row>
    <row r="67" spans="1:41" ht="36.75" customHeight="1">
      <c r="A67" s="1"/>
      <c r="B67" s="1"/>
      <c r="C67" s="1"/>
      <c r="D67" s="1"/>
      <c r="E67" s="1"/>
      <c r="F67" s="1"/>
      <c r="G67" s="22"/>
      <c r="H67" s="1"/>
      <c r="I67" s="1"/>
      <c r="J67" s="63"/>
      <c r="K67" s="1"/>
      <c r="L67" s="1"/>
      <c r="M67" s="1"/>
      <c r="N67" s="1"/>
      <c r="O67" s="1"/>
      <c r="P67" s="64"/>
      <c r="Q67" s="64"/>
      <c r="R67" s="62"/>
      <c r="S67" s="22"/>
      <c r="T67" s="9"/>
      <c r="U67" s="1"/>
      <c r="V67" s="1"/>
      <c r="W67" s="1"/>
      <c r="X67" s="60"/>
      <c r="Y67" s="60"/>
      <c r="Z67" s="2" t="s">
        <v>3779</v>
      </c>
      <c r="AA67" s="67">
        <v>43700</v>
      </c>
      <c r="AB67" s="2" t="s">
        <v>2458</v>
      </c>
      <c r="AC67" s="2">
        <v>312</v>
      </c>
      <c r="AD67" s="2">
        <v>180</v>
      </c>
      <c r="AE67" s="2">
        <v>46.82</v>
      </c>
      <c r="AF67" s="2">
        <v>24</v>
      </c>
      <c r="AG67" s="102">
        <f>AE67*AC67*AF67*0.0036</f>
        <v>1262.1173760000001</v>
      </c>
      <c r="AH67" s="102">
        <f>AE67*AD67*AF67*0.0036</f>
        <v>728.1446400000001</v>
      </c>
      <c r="AI67" s="2">
        <v>30</v>
      </c>
      <c r="AJ67" s="1">
        <v>12</v>
      </c>
      <c r="AK67" s="1">
        <v>0.5</v>
      </c>
      <c r="AL67" s="1">
        <v>0.57</v>
      </c>
      <c r="AM67" s="127">
        <f>AG67*AI67*AJ67*AK67</f>
        <v>227181.12768</v>
      </c>
      <c r="AN67" s="128">
        <f>AH67*AI67*AJ67*AL67</f>
        <v>149415.280128</v>
      </c>
      <c r="AO67" s="2"/>
    </row>
    <row r="68" spans="1:41" ht="12.75">
      <c r="A68" s="1">
        <v>56</v>
      </c>
      <c r="B68" s="1" t="s">
        <v>55</v>
      </c>
      <c r="C68" s="1" t="s">
        <v>4</v>
      </c>
      <c r="D68" s="1">
        <v>4</v>
      </c>
      <c r="E68" s="1" t="s">
        <v>1062</v>
      </c>
      <c r="F68" s="22" t="s">
        <v>1064</v>
      </c>
      <c r="G68" s="22" t="s">
        <v>2437</v>
      </c>
      <c r="H68" s="1" t="s">
        <v>4166</v>
      </c>
      <c r="I68" s="1" t="s">
        <v>4127</v>
      </c>
      <c r="J68" s="63">
        <v>29104391</v>
      </c>
      <c r="K68" s="1" t="s">
        <v>2438</v>
      </c>
      <c r="L68" s="1">
        <v>3447000</v>
      </c>
      <c r="M68" s="1" t="s">
        <v>3735</v>
      </c>
      <c r="N68" s="1" t="s">
        <v>4181</v>
      </c>
      <c r="O68" s="1">
        <v>3428</v>
      </c>
      <c r="P68" s="64">
        <v>43073</v>
      </c>
      <c r="Q68" s="64">
        <v>46724</v>
      </c>
      <c r="R68" s="62" t="s">
        <v>2440</v>
      </c>
      <c r="S68" s="29" t="s">
        <v>2441</v>
      </c>
      <c r="T68" s="9" t="s">
        <v>2443</v>
      </c>
      <c r="U68" s="22" t="s">
        <v>1063</v>
      </c>
      <c r="V68" s="22" t="s">
        <v>2754</v>
      </c>
      <c r="W68" s="1">
        <v>2553</v>
      </c>
      <c r="X68" s="60">
        <v>111096.63</v>
      </c>
      <c r="Y68" s="60">
        <v>103021.61</v>
      </c>
      <c r="Z68" s="2" t="s">
        <v>3741</v>
      </c>
      <c r="AA68" s="46"/>
      <c r="AB68" s="46"/>
      <c r="AC68" s="46"/>
      <c r="AD68" s="46"/>
      <c r="AE68" s="46"/>
      <c r="AF68" s="46"/>
      <c r="AG68" s="43"/>
      <c r="AH68" s="43"/>
      <c r="AI68" s="2"/>
      <c r="AJ68" s="1"/>
      <c r="AK68" s="46"/>
      <c r="AL68" s="46"/>
      <c r="AM68" s="44">
        <f t="shared" si="0"/>
        <v>0</v>
      </c>
      <c r="AN68" s="45">
        <f t="shared" si="1"/>
        <v>0</v>
      </c>
      <c r="AO68" s="46"/>
    </row>
    <row r="69" spans="1:41" ht="39" customHeight="1">
      <c r="A69" s="1">
        <v>57</v>
      </c>
      <c r="B69" s="33" t="s">
        <v>55</v>
      </c>
      <c r="C69" s="33" t="s">
        <v>4</v>
      </c>
      <c r="D69" s="33">
        <v>4</v>
      </c>
      <c r="E69" s="33" t="s">
        <v>441</v>
      </c>
      <c r="F69" s="33" t="s">
        <v>1064</v>
      </c>
      <c r="G69" s="22" t="s">
        <v>2437</v>
      </c>
      <c r="H69" s="1" t="s">
        <v>4166</v>
      </c>
      <c r="I69" s="1" t="s">
        <v>4127</v>
      </c>
      <c r="J69" s="63">
        <v>29104391</v>
      </c>
      <c r="K69" s="1" t="s">
        <v>2438</v>
      </c>
      <c r="L69" s="1">
        <v>3447000</v>
      </c>
      <c r="M69" s="1" t="s">
        <v>3735</v>
      </c>
      <c r="N69" s="1" t="s">
        <v>4181</v>
      </c>
      <c r="O69" s="1">
        <v>3428</v>
      </c>
      <c r="P69" s="64">
        <v>43073</v>
      </c>
      <c r="Q69" s="64">
        <v>46724</v>
      </c>
      <c r="R69" s="62" t="s">
        <v>2440</v>
      </c>
      <c r="S69" s="22" t="s">
        <v>2442</v>
      </c>
      <c r="T69" s="9" t="s">
        <v>2443</v>
      </c>
      <c r="U69" s="33" t="s">
        <v>60</v>
      </c>
      <c r="V69" s="33" t="s">
        <v>2755</v>
      </c>
      <c r="W69" s="1">
        <v>2554</v>
      </c>
      <c r="X69" s="60">
        <v>111092.94</v>
      </c>
      <c r="Y69" s="60">
        <v>103002.18</v>
      </c>
      <c r="Z69" s="2" t="s">
        <v>3753</v>
      </c>
      <c r="AA69" s="67">
        <v>43403</v>
      </c>
      <c r="AB69" s="2" t="s">
        <v>2558</v>
      </c>
      <c r="AC69" s="2">
        <v>129</v>
      </c>
      <c r="AD69" s="2">
        <v>52</v>
      </c>
      <c r="AE69" s="2">
        <f>(15.769+16.012+16.253+15.68+15.793)/5</f>
        <v>15.9014</v>
      </c>
      <c r="AF69" s="2">
        <v>24</v>
      </c>
      <c r="AG69" s="102">
        <f>AE69*AC69*AF69*0.0036</f>
        <v>177.23064384</v>
      </c>
      <c r="AH69" s="102">
        <f>AE69*AD69*AF69*0.0036</f>
        <v>71.44180992</v>
      </c>
      <c r="AI69" s="2">
        <v>30</v>
      </c>
      <c r="AJ69" s="1">
        <v>12</v>
      </c>
      <c r="AK69" s="1">
        <v>0.59</v>
      </c>
      <c r="AL69" s="1">
        <v>0.58</v>
      </c>
      <c r="AM69" s="117">
        <f t="shared" si="0"/>
        <v>37643.788751616</v>
      </c>
      <c r="AN69" s="118">
        <f t="shared" si="1"/>
        <v>14917.049911295997</v>
      </c>
      <c r="AO69" s="2" t="s">
        <v>2413</v>
      </c>
    </row>
    <row r="70" spans="1:41" ht="12.75">
      <c r="A70" s="1">
        <v>58</v>
      </c>
      <c r="B70" s="1" t="s">
        <v>55</v>
      </c>
      <c r="C70" s="1" t="s">
        <v>4</v>
      </c>
      <c r="D70" s="1">
        <v>4</v>
      </c>
      <c r="E70" s="1" t="s">
        <v>1065</v>
      </c>
      <c r="F70" s="21" t="s">
        <v>1081</v>
      </c>
      <c r="G70" s="22" t="s">
        <v>2437</v>
      </c>
      <c r="H70" s="1" t="s">
        <v>4166</v>
      </c>
      <c r="I70" s="1" t="s">
        <v>4127</v>
      </c>
      <c r="J70" s="63">
        <v>29104391</v>
      </c>
      <c r="K70" s="1" t="s">
        <v>2438</v>
      </c>
      <c r="L70" s="1">
        <v>3447000</v>
      </c>
      <c r="M70" s="1" t="s">
        <v>3735</v>
      </c>
      <c r="N70" s="1" t="s">
        <v>4181</v>
      </c>
      <c r="O70" s="1">
        <v>3428</v>
      </c>
      <c r="P70" s="64">
        <v>43073</v>
      </c>
      <c r="Q70" s="64">
        <v>46724</v>
      </c>
      <c r="R70" s="62" t="s">
        <v>2440</v>
      </c>
      <c r="S70" s="29" t="s">
        <v>2441</v>
      </c>
      <c r="T70" s="9" t="s">
        <v>2443</v>
      </c>
      <c r="U70" s="21" t="s">
        <v>2756</v>
      </c>
      <c r="V70" s="21" t="s">
        <v>2757</v>
      </c>
      <c r="W70" s="1">
        <v>2554</v>
      </c>
      <c r="X70" s="60">
        <v>111110.37</v>
      </c>
      <c r="Y70" s="60">
        <v>102402.21</v>
      </c>
      <c r="Z70" s="2" t="s">
        <v>3741</v>
      </c>
      <c r="AA70" s="46"/>
      <c r="AB70" s="46"/>
      <c r="AC70" s="46"/>
      <c r="AD70" s="46"/>
      <c r="AE70" s="46"/>
      <c r="AF70" s="46"/>
      <c r="AG70" s="43"/>
      <c r="AH70" s="43"/>
      <c r="AI70" s="2"/>
      <c r="AJ70" s="1"/>
      <c r="AK70" s="46"/>
      <c r="AL70" s="46"/>
      <c r="AM70" s="44">
        <f t="shared" si="0"/>
        <v>0</v>
      </c>
      <c r="AN70" s="45">
        <f t="shared" si="1"/>
        <v>0</v>
      </c>
      <c r="AO70" s="46"/>
    </row>
    <row r="71" spans="1:41" ht="12.75">
      <c r="A71" s="1">
        <v>59</v>
      </c>
      <c r="B71" s="1" t="s">
        <v>55</v>
      </c>
      <c r="C71" s="1" t="s">
        <v>4</v>
      </c>
      <c r="D71" s="1">
        <v>4</v>
      </c>
      <c r="E71" s="1" t="s">
        <v>1066</v>
      </c>
      <c r="F71" s="21" t="s">
        <v>1082</v>
      </c>
      <c r="G71" s="22" t="s">
        <v>2437</v>
      </c>
      <c r="H71" s="1" t="s">
        <v>4166</v>
      </c>
      <c r="I71" s="1" t="s">
        <v>4127</v>
      </c>
      <c r="J71" s="63">
        <v>29104391</v>
      </c>
      <c r="K71" s="1" t="s">
        <v>2438</v>
      </c>
      <c r="L71" s="1">
        <v>3447000</v>
      </c>
      <c r="M71" s="1" t="s">
        <v>3735</v>
      </c>
      <c r="N71" s="1" t="s">
        <v>4181</v>
      </c>
      <c r="O71" s="1">
        <v>3428</v>
      </c>
      <c r="P71" s="64">
        <v>43073</v>
      </c>
      <c r="Q71" s="64">
        <v>46724</v>
      </c>
      <c r="R71" s="62" t="s">
        <v>2440</v>
      </c>
      <c r="S71" s="22" t="s">
        <v>2442</v>
      </c>
      <c r="T71" s="9" t="s">
        <v>2443</v>
      </c>
      <c r="U71" s="21" t="s">
        <v>2758</v>
      </c>
      <c r="V71" s="21" t="s">
        <v>2759</v>
      </c>
      <c r="W71" s="21">
        <v>2556</v>
      </c>
      <c r="X71" s="60">
        <v>111158.32</v>
      </c>
      <c r="Y71" s="60">
        <v>102475.89</v>
      </c>
      <c r="Z71" s="2" t="s">
        <v>3741</v>
      </c>
      <c r="AA71" s="46"/>
      <c r="AB71" s="46"/>
      <c r="AC71" s="46"/>
      <c r="AD71" s="46"/>
      <c r="AE71" s="46"/>
      <c r="AF71" s="46"/>
      <c r="AG71" s="43"/>
      <c r="AH71" s="43"/>
      <c r="AI71" s="2"/>
      <c r="AJ71" s="1"/>
      <c r="AK71" s="46"/>
      <c r="AL71" s="46"/>
      <c r="AM71" s="44">
        <f t="shared" si="0"/>
        <v>0</v>
      </c>
      <c r="AN71" s="45">
        <f t="shared" si="1"/>
        <v>0</v>
      </c>
      <c r="AO71" s="46"/>
    </row>
    <row r="72" spans="1:41" ht="12.75">
      <c r="A72" s="1">
        <v>60</v>
      </c>
      <c r="B72" s="1" t="s">
        <v>55</v>
      </c>
      <c r="C72" s="1" t="s">
        <v>4</v>
      </c>
      <c r="D72" s="1">
        <v>4</v>
      </c>
      <c r="E72" s="1" t="s">
        <v>1067</v>
      </c>
      <c r="F72" s="21" t="s">
        <v>1083</v>
      </c>
      <c r="G72" s="21" t="s">
        <v>2454</v>
      </c>
      <c r="H72" s="1" t="s">
        <v>4166</v>
      </c>
      <c r="I72" s="1" t="s">
        <v>4127</v>
      </c>
      <c r="J72" s="63">
        <v>29104391</v>
      </c>
      <c r="K72" s="1" t="s">
        <v>2438</v>
      </c>
      <c r="L72" s="1">
        <v>3447000</v>
      </c>
      <c r="M72" s="1" t="s">
        <v>3735</v>
      </c>
      <c r="N72" s="1" t="s">
        <v>4181</v>
      </c>
      <c r="O72" s="1">
        <v>3428</v>
      </c>
      <c r="P72" s="64">
        <v>43073</v>
      </c>
      <c r="Q72" s="64">
        <v>46724</v>
      </c>
      <c r="R72" s="62" t="s">
        <v>2440</v>
      </c>
      <c r="S72" s="22" t="s">
        <v>2442</v>
      </c>
      <c r="T72" s="9" t="s">
        <v>2443</v>
      </c>
      <c r="U72" s="21" t="s">
        <v>1077</v>
      </c>
      <c r="V72" s="21" t="s">
        <v>2760</v>
      </c>
      <c r="W72" s="21">
        <v>2556</v>
      </c>
      <c r="X72" s="60">
        <v>111069.42</v>
      </c>
      <c r="Y72" s="60">
        <v>102185.2</v>
      </c>
      <c r="Z72" s="2" t="s">
        <v>3741</v>
      </c>
      <c r="AA72" s="46"/>
      <c r="AB72" s="46"/>
      <c r="AC72" s="46"/>
      <c r="AD72" s="46"/>
      <c r="AE72" s="46"/>
      <c r="AF72" s="46"/>
      <c r="AG72" s="43"/>
      <c r="AH72" s="43"/>
      <c r="AI72" s="2"/>
      <c r="AJ72" s="1"/>
      <c r="AK72" s="46"/>
      <c r="AL72" s="46"/>
      <c r="AM72" s="44">
        <f t="shared" si="0"/>
        <v>0</v>
      </c>
      <c r="AN72" s="45">
        <f t="shared" si="1"/>
        <v>0</v>
      </c>
      <c r="AO72" s="46"/>
    </row>
    <row r="73" spans="1:41" ht="12.75">
      <c r="A73" s="1">
        <v>61</v>
      </c>
      <c r="B73" s="1" t="s">
        <v>55</v>
      </c>
      <c r="C73" s="1" t="s">
        <v>4</v>
      </c>
      <c r="D73" s="1">
        <v>4</v>
      </c>
      <c r="E73" s="1" t="s">
        <v>1068</v>
      </c>
      <c r="F73" s="21" t="s">
        <v>1084</v>
      </c>
      <c r="G73" s="21" t="s">
        <v>2454</v>
      </c>
      <c r="H73" s="1" t="s">
        <v>4166</v>
      </c>
      <c r="I73" s="1" t="s">
        <v>4127</v>
      </c>
      <c r="J73" s="63">
        <v>29104391</v>
      </c>
      <c r="K73" s="1" t="s">
        <v>2438</v>
      </c>
      <c r="L73" s="1">
        <v>3447000</v>
      </c>
      <c r="M73" s="1" t="s">
        <v>3735</v>
      </c>
      <c r="N73" s="1" t="s">
        <v>4181</v>
      </c>
      <c r="O73" s="1">
        <v>3428</v>
      </c>
      <c r="P73" s="64">
        <v>43073</v>
      </c>
      <c r="Q73" s="64">
        <v>46724</v>
      </c>
      <c r="R73" s="62" t="s">
        <v>2440</v>
      </c>
      <c r="S73" s="22" t="s">
        <v>2442</v>
      </c>
      <c r="T73" s="9" t="s">
        <v>2443</v>
      </c>
      <c r="U73" s="21" t="s">
        <v>2761</v>
      </c>
      <c r="V73" s="21" t="s">
        <v>2762</v>
      </c>
      <c r="W73" s="21">
        <v>2555</v>
      </c>
      <c r="X73" s="60">
        <v>111063.33</v>
      </c>
      <c r="Y73" s="60">
        <v>102157.72</v>
      </c>
      <c r="Z73" s="2" t="s">
        <v>3741</v>
      </c>
      <c r="AA73" s="46"/>
      <c r="AB73" s="46"/>
      <c r="AC73" s="46"/>
      <c r="AD73" s="46"/>
      <c r="AE73" s="46"/>
      <c r="AF73" s="46"/>
      <c r="AG73" s="43"/>
      <c r="AH73" s="43"/>
      <c r="AI73" s="2"/>
      <c r="AJ73" s="1"/>
      <c r="AK73" s="46"/>
      <c r="AL73" s="46"/>
      <c r="AM73" s="44">
        <f t="shared" si="0"/>
        <v>0</v>
      </c>
      <c r="AN73" s="45">
        <f t="shared" si="1"/>
        <v>0</v>
      </c>
      <c r="AO73" s="46"/>
    </row>
    <row r="74" spans="1:41" ht="12.75">
      <c r="A74" s="1">
        <v>62</v>
      </c>
      <c r="B74" s="1" t="s">
        <v>55</v>
      </c>
      <c r="C74" s="1" t="s">
        <v>4</v>
      </c>
      <c r="D74" s="1">
        <v>4</v>
      </c>
      <c r="E74" s="1" t="s">
        <v>1069</v>
      </c>
      <c r="F74" s="21" t="s">
        <v>1085</v>
      </c>
      <c r="G74" s="21" t="s">
        <v>2454</v>
      </c>
      <c r="H74" s="1" t="s">
        <v>4166</v>
      </c>
      <c r="I74" s="1" t="s">
        <v>4127</v>
      </c>
      <c r="J74" s="63">
        <v>29104391</v>
      </c>
      <c r="K74" s="1" t="s">
        <v>2438</v>
      </c>
      <c r="L74" s="1">
        <v>3447000</v>
      </c>
      <c r="M74" s="1" t="s">
        <v>3735</v>
      </c>
      <c r="N74" s="1" t="s">
        <v>4181</v>
      </c>
      <c r="O74" s="1">
        <v>3428</v>
      </c>
      <c r="P74" s="64">
        <v>43073</v>
      </c>
      <c r="Q74" s="64">
        <v>46724</v>
      </c>
      <c r="R74" s="62" t="s">
        <v>2440</v>
      </c>
      <c r="S74" s="22" t="s">
        <v>2442</v>
      </c>
      <c r="T74" s="9" t="s">
        <v>2443</v>
      </c>
      <c r="U74" s="21" t="s">
        <v>2763</v>
      </c>
      <c r="V74" s="21" t="s">
        <v>2764</v>
      </c>
      <c r="W74" s="21">
        <v>2552</v>
      </c>
      <c r="X74" s="60">
        <v>111079.59</v>
      </c>
      <c r="Y74" s="60">
        <v>101968.72</v>
      </c>
      <c r="Z74" s="2" t="s">
        <v>3741</v>
      </c>
      <c r="AA74" s="46"/>
      <c r="AB74" s="46"/>
      <c r="AC74" s="46"/>
      <c r="AD74" s="46"/>
      <c r="AE74" s="46"/>
      <c r="AF74" s="46"/>
      <c r="AG74" s="43"/>
      <c r="AH74" s="43"/>
      <c r="AI74" s="2"/>
      <c r="AJ74" s="1"/>
      <c r="AK74" s="46"/>
      <c r="AL74" s="46"/>
      <c r="AM74" s="44">
        <f t="shared" si="0"/>
        <v>0</v>
      </c>
      <c r="AN74" s="45">
        <f t="shared" si="1"/>
        <v>0</v>
      </c>
      <c r="AO74" s="46"/>
    </row>
    <row r="75" spans="1:41" ht="12.75">
      <c r="A75" s="1">
        <v>63</v>
      </c>
      <c r="B75" s="1" t="s">
        <v>55</v>
      </c>
      <c r="C75" s="1" t="s">
        <v>4</v>
      </c>
      <c r="D75" s="1">
        <v>4</v>
      </c>
      <c r="E75" s="1" t="s">
        <v>1070</v>
      </c>
      <c r="F75" s="21" t="s">
        <v>1086</v>
      </c>
      <c r="G75" s="21" t="s">
        <v>2454</v>
      </c>
      <c r="H75" s="1" t="s">
        <v>4166</v>
      </c>
      <c r="I75" s="1" t="s">
        <v>4127</v>
      </c>
      <c r="J75" s="63">
        <v>29104391</v>
      </c>
      <c r="K75" s="1" t="s">
        <v>2438</v>
      </c>
      <c r="L75" s="1">
        <v>3447000</v>
      </c>
      <c r="M75" s="1" t="s">
        <v>3735</v>
      </c>
      <c r="N75" s="1" t="s">
        <v>4181</v>
      </c>
      <c r="O75" s="1">
        <v>3428</v>
      </c>
      <c r="P75" s="64">
        <v>43073</v>
      </c>
      <c r="Q75" s="64">
        <v>46724</v>
      </c>
      <c r="R75" s="62" t="s">
        <v>2440</v>
      </c>
      <c r="S75" s="22" t="s">
        <v>2442</v>
      </c>
      <c r="T75" s="9" t="s">
        <v>2443</v>
      </c>
      <c r="U75" s="21" t="s">
        <v>2765</v>
      </c>
      <c r="V75" s="21" t="s">
        <v>2766</v>
      </c>
      <c r="W75" s="21">
        <v>2553</v>
      </c>
      <c r="X75" s="60">
        <v>111101.4</v>
      </c>
      <c r="Y75" s="60">
        <v>101912.92</v>
      </c>
      <c r="Z75" s="2" t="s">
        <v>3741</v>
      </c>
      <c r="AA75" s="46"/>
      <c r="AB75" s="46"/>
      <c r="AC75" s="46"/>
      <c r="AD75" s="46"/>
      <c r="AE75" s="46"/>
      <c r="AF75" s="46"/>
      <c r="AG75" s="43"/>
      <c r="AH75" s="43"/>
      <c r="AI75" s="2"/>
      <c r="AJ75" s="1"/>
      <c r="AK75" s="46"/>
      <c r="AL75" s="46"/>
      <c r="AM75" s="44">
        <f t="shared" si="0"/>
        <v>0</v>
      </c>
      <c r="AN75" s="45">
        <f t="shared" si="1"/>
        <v>0</v>
      </c>
      <c r="AO75" s="46"/>
    </row>
    <row r="76" spans="1:41" ht="12.75">
      <c r="A76" s="1">
        <v>64</v>
      </c>
      <c r="B76" s="1" t="s">
        <v>55</v>
      </c>
      <c r="C76" s="1" t="s">
        <v>4</v>
      </c>
      <c r="D76" s="1">
        <v>4</v>
      </c>
      <c r="E76" s="1" t="s">
        <v>1071</v>
      </c>
      <c r="F76" s="21" t="s">
        <v>1087</v>
      </c>
      <c r="G76" s="21" t="s">
        <v>2454</v>
      </c>
      <c r="H76" s="1" t="s">
        <v>4166</v>
      </c>
      <c r="I76" s="1" t="s">
        <v>4127</v>
      </c>
      <c r="J76" s="63">
        <v>29104391</v>
      </c>
      <c r="K76" s="1" t="s">
        <v>2438</v>
      </c>
      <c r="L76" s="1">
        <v>3447000</v>
      </c>
      <c r="M76" s="1" t="s">
        <v>3735</v>
      </c>
      <c r="N76" s="1" t="s">
        <v>4181</v>
      </c>
      <c r="O76" s="1">
        <v>3428</v>
      </c>
      <c r="P76" s="64">
        <v>43073</v>
      </c>
      <c r="Q76" s="64">
        <v>46724</v>
      </c>
      <c r="R76" s="62" t="s">
        <v>2440</v>
      </c>
      <c r="S76" s="22" t="s">
        <v>2442</v>
      </c>
      <c r="T76" s="9" t="s">
        <v>2443</v>
      </c>
      <c r="U76" s="21" t="s">
        <v>1078</v>
      </c>
      <c r="V76" s="21" t="s">
        <v>2767</v>
      </c>
      <c r="W76" s="21">
        <v>2553</v>
      </c>
      <c r="X76" s="60">
        <v>111210.76</v>
      </c>
      <c r="Y76" s="60">
        <v>101601.2</v>
      </c>
      <c r="Z76" s="2" t="s">
        <v>3741</v>
      </c>
      <c r="AA76" s="46"/>
      <c r="AB76" s="46"/>
      <c r="AC76" s="46"/>
      <c r="AD76" s="46"/>
      <c r="AE76" s="46"/>
      <c r="AF76" s="46"/>
      <c r="AG76" s="43"/>
      <c r="AH76" s="43"/>
      <c r="AI76" s="2"/>
      <c r="AJ76" s="1"/>
      <c r="AK76" s="46"/>
      <c r="AL76" s="46"/>
      <c r="AM76" s="44">
        <f t="shared" si="0"/>
        <v>0</v>
      </c>
      <c r="AN76" s="45">
        <f t="shared" si="1"/>
        <v>0</v>
      </c>
      <c r="AO76" s="46"/>
    </row>
    <row r="77" spans="1:41" ht="12.75">
      <c r="A77" s="1">
        <v>65</v>
      </c>
      <c r="B77" s="1" t="s">
        <v>55</v>
      </c>
      <c r="C77" s="1" t="s">
        <v>4</v>
      </c>
      <c r="D77" s="1">
        <v>4</v>
      </c>
      <c r="E77" s="1" t="s">
        <v>1072</v>
      </c>
      <c r="F77" s="21" t="s">
        <v>1088</v>
      </c>
      <c r="G77" s="21" t="s">
        <v>2454</v>
      </c>
      <c r="H77" s="1" t="s">
        <v>4166</v>
      </c>
      <c r="I77" s="1" t="s">
        <v>4127</v>
      </c>
      <c r="J77" s="63">
        <v>29104391</v>
      </c>
      <c r="K77" s="1" t="s">
        <v>2438</v>
      </c>
      <c r="L77" s="1">
        <v>3447000</v>
      </c>
      <c r="M77" s="1" t="s">
        <v>3735</v>
      </c>
      <c r="N77" s="1" t="s">
        <v>4181</v>
      </c>
      <c r="O77" s="1">
        <v>3428</v>
      </c>
      <c r="P77" s="64">
        <v>43073</v>
      </c>
      <c r="Q77" s="64">
        <v>46724</v>
      </c>
      <c r="R77" s="62" t="s">
        <v>2440</v>
      </c>
      <c r="S77" s="22" t="s">
        <v>2442</v>
      </c>
      <c r="T77" s="9" t="s">
        <v>2443</v>
      </c>
      <c r="U77" s="21" t="s">
        <v>1079</v>
      </c>
      <c r="V77" s="21" t="s">
        <v>2768</v>
      </c>
      <c r="W77" s="21">
        <v>2554</v>
      </c>
      <c r="X77" s="60">
        <v>111215.67</v>
      </c>
      <c r="Y77" s="60">
        <v>101577.77</v>
      </c>
      <c r="Z77" s="2" t="s">
        <v>3741</v>
      </c>
      <c r="AA77" s="46"/>
      <c r="AB77" s="46"/>
      <c r="AC77" s="46"/>
      <c r="AD77" s="46"/>
      <c r="AE77" s="46"/>
      <c r="AF77" s="46"/>
      <c r="AG77" s="43"/>
      <c r="AH77" s="43"/>
      <c r="AI77" s="2"/>
      <c r="AJ77" s="1"/>
      <c r="AK77" s="46"/>
      <c r="AL77" s="46"/>
      <c r="AM77" s="44">
        <f t="shared" si="0"/>
        <v>0</v>
      </c>
      <c r="AN77" s="45">
        <f t="shared" si="1"/>
        <v>0</v>
      </c>
      <c r="AO77" s="46"/>
    </row>
    <row r="78" spans="1:41" ht="12.75">
      <c r="A78" s="1">
        <v>66</v>
      </c>
      <c r="B78" s="1" t="s">
        <v>55</v>
      </c>
      <c r="C78" s="1" t="s">
        <v>4</v>
      </c>
      <c r="D78" s="1">
        <v>4</v>
      </c>
      <c r="E78" s="1" t="s">
        <v>1073</v>
      </c>
      <c r="F78" s="21" t="s">
        <v>1089</v>
      </c>
      <c r="G78" s="21" t="s">
        <v>2454</v>
      </c>
      <c r="H78" s="1" t="s">
        <v>4166</v>
      </c>
      <c r="I78" s="1" t="s">
        <v>4127</v>
      </c>
      <c r="J78" s="63">
        <v>29104391</v>
      </c>
      <c r="K78" s="1" t="s">
        <v>2438</v>
      </c>
      <c r="L78" s="1">
        <v>3447000</v>
      </c>
      <c r="M78" s="1" t="s">
        <v>3735</v>
      </c>
      <c r="N78" s="1" t="s">
        <v>4181</v>
      </c>
      <c r="O78" s="1">
        <v>3428</v>
      </c>
      <c r="P78" s="64">
        <v>43073</v>
      </c>
      <c r="Q78" s="64">
        <v>46724</v>
      </c>
      <c r="R78" s="62" t="s">
        <v>2440</v>
      </c>
      <c r="S78" s="22" t="s">
        <v>2442</v>
      </c>
      <c r="T78" s="9" t="s">
        <v>2443</v>
      </c>
      <c r="U78" s="21" t="s">
        <v>2769</v>
      </c>
      <c r="V78" s="21" t="s">
        <v>2770</v>
      </c>
      <c r="W78" s="21">
        <v>2555</v>
      </c>
      <c r="X78" s="60">
        <v>111270.05</v>
      </c>
      <c r="Y78" s="60">
        <v>101456.59</v>
      </c>
      <c r="Z78" s="2" t="s">
        <v>3741</v>
      </c>
      <c r="AA78" s="46"/>
      <c r="AB78" s="46"/>
      <c r="AC78" s="46"/>
      <c r="AD78" s="46"/>
      <c r="AE78" s="46"/>
      <c r="AF78" s="46"/>
      <c r="AG78" s="43"/>
      <c r="AH78" s="43"/>
      <c r="AI78" s="2"/>
      <c r="AJ78" s="1"/>
      <c r="AK78" s="46"/>
      <c r="AL78" s="46"/>
      <c r="AM78" s="44">
        <f aca="true" t="shared" si="3" ref="AM78:AM148">AG78*AI78*AJ78*AK78</f>
        <v>0</v>
      </c>
      <c r="AN78" s="45">
        <f aca="true" t="shared" si="4" ref="AN78:AN148">AH78*AI78*AJ78*AL78</f>
        <v>0</v>
      </c>
      <c r="AO78" s="46"/>
    </row>
    <row r="79" spans="1:41" ht="12.75">
      <c r="A79" s="1">
        <v>67</v>
      </c>
      <c r="B79" s="1" t="s">
        <v>55</v>
      </c>
      <c r="C79" s="1" t="s">
        <v>4</v>
      </c>
      <c r="D79" s="1">
        <v>4</v>
      </c>
      <c r="E79" s="1" t="s">
        <v>1074</v>
      </c>
      <c r="F79" s="21" t="s">
        <v>1090</v>
      </c>
      <c r="G79" s="21" t="s">
        <v>2454</v>
      </c>
      <c r="H79" s="1" t="s">
        <v>4166</v>
      </c>
      <c r="I79" s="1" t="s">
        <v>4127</v>
      </c>
      <c r="J79" s="63">
        <v>29104391</v>
      </c>
      <c r="K79" s="1" t="s">
        <v>2438</v>
      </c>
      <c r="L79" s="1">
        <v>3447000</v>
      </c>
      <c r="M79" s="1" t="s">
        <v>3735</v>
      </c>
      <c r="N79" s="1" t="s">
        <v>4181</v>
      </c>
      <c r="O79" s="1">
        <v>3428</v>
      </c>
      <c r="P79" s="64">
        <v>43073</v>
      </c>
      <c r="Q79" s="64">
        <v>46724</v>
      </c>
      <c r="R79" s="62" t="s">
        <v>2440</v>
      </c>
      <c r="S79" s="22" t="s">
        <v>2442</v>
      </c>
      <c r="T79" s="9" t="s">
        <v>2443</v>
      </c>
      <c r="U79" s="21" t="s">
        <v>2771</v>
      </c>
      <c r="V79" s="21" t="s">
        <v>2772</v>
      </c>
      <c r="W79" s="21">
        <v>2554</v>
      </c>
      <c r="X79" s="60">
        <v>111310.61</v>
      </c>
      <c r="Y79" s="60">
        <v>101389.38</v>
      </c>
      <c r="Z79" s="2" t="s">
        <v>3741</v>
      </c>
      <c r="AA79" s="46"/>
      <c r="AB79" s="46"/>
      <c r="AC79" s="46"/>
      <c r="AD79" s="46"/>
      <c r="AE79" s="46"/>
      <c r="AF79" s="46"/>
      <c r="AG79" s="43"/>
      <c r="AH79" s="43"/>
      <c r="AI79" s="2"/>
      <c r="AJ79" s="1"/>
      <c r="AK79" s="46"/>
      <c r="AL79" s="46"/>
      <c r="AM79" s="44">
        <f t="shared" si="3"/>
        <v>0</v>
      </c>
      <c r="AN79" s="45">
        <f t="shared" si="4"/>
        <v>0</v>
      </c>
      <c r="AO79" s="46"/>
    </row>
    <row r="80" spans="1:41" ht="12.75">
      <c r="A80" s="1">
        <v>68</v>
      </c>
      <c r="B80" s="1" t="s">
        <v>55</v>
      </c>
      <c r="C80" s="1" t="s">
        <v>4</v>
      </c>
      <c r="D80" s="1">
        <v>4</v>
      </c>
      <c r="E80" s="1" t="s">
        <v>1075</v>
      </c>
      <c r="F80" s="21" t="s">
        <v>1091</v>
      </c>
      <c r="G80" s="21" t="s">
        <v>2454</v>
      </c>
      <c r="H80" s="1" t="s">
        <v>4166</v>
      </c>
      <c r="I80" s="1" t="s">
        <v>4127</v>
      </c>
      <c r="J80" s="63">
        <v>29104391</v>
      </c>
      <c r="K80" s="1" t="s">
        <v>2438</v>
      </c>
      <c r="L80" s="1">
        <v>3447000</v>
      </c>
      <c r="M80" s="1" t="s">
        <v>3735</v>
      </c>
      <c r="N80" s="1" t="s">
        <v>4181</v>
      </c>
      <c r="O80" s="1">
        <v>3428</v>
      </c>
      <c r="P80" s="64">
        <v>43073</v>
      </c>
      <c r="Q80" s="64">
        <v>46724</v>
      </c>
      <c r="R80" s="62" t="s">
        <v>2440</v>
      </c>
      <c r="S80" s="29" t="s">
        <v>2441</v>
      </c>
      <c r="T80" s="9" t="s">
        <v>2443</v>
      </c>
      <c r="U80" s="21" t="s">
        <v>1080</v>
      </c>
      <c r="V80" s="21" t="s">
        <v>2773</v>
      </c>
      <c r="W80" s="21">
        <v>2551</v>
      </c>
      <c r="X80" s="60">
        <v>111469.16</v>
      </c>
      <c r="Y80" s="60">
        <v>101349.37</v>
      </c>
      <c r="Z80" s="2" t="s">
        <v>3741</v>
      </c>
      <c r="AA80" s="46"/>
      <c r="AB80" s="46"/>
      <c r="AC80" s="46"/>
      <c r="AD80" s="46"/>
      <c r="AE80" s="46"/>
      <c r="AF80" s="46"/>
      <c r="AG80" s="43"/>
      <c r="AH80" s="43"/>
      <c r="AI80" s="2"/>
      <c r="AJ80" s="1"/>
      <c r="AK80" s="46"/>
      <c r="AL80" s="46"/>
      <c r="AM80" s="44">
        <f t="shared" si="3"/>
        <v>0</v>
      </c>
      <c r="AN80" s="45">
        <f t="shared" si="4"/>
        <v>0</v>
      </c>
      <c r="AO80" s="46"/>
    </row>
    <row r="81" spans="1:41" ht="12.75">
      <c r="A81" s="1">
        <v>69</v>
      </c>
      <c r="B81" s="1" t="s">
        <v>55</v>
      </c>
      <c r="C81" s="1" t="s">
        <v>4</v>
      </c>
      <c r="D81" s="1">
        <v>4</v>
      </c>
      <c r="E81" s="1" t="s">
        <v>1076</v>
      </c>
      <c r="F81" s="21" t="s">
        <v>1092</v>
      </c>
      <c r="G81" s="21" t="s">
        <v>2454</v>
      </c>
      <c r="H81" s="1" t="s">
        <v>4166</v>
      </c>
      <c r="I81" s="1" t="s">
        <v>4127</v>
      </c>
      <c r="J81" s="63">
        <v>29104391</v>
      </c>
      <c r="K81" s="1" t="s">
        <v>2438</v>
      </c>
      <c r="L81" s="1">
        <v>3447000</v>
      </c>
      <c r="M81" s="1" t="s">
        <v>3735</v>
      </c>
      <c r="N81" s="1" t="s">
        <v>4181</v>
      </c>
      <c r="O81" s="1">
        <v>3428</v>
      </c>
      <c r="P81" s="64">
        <v>43073</v>
      </c>
      <c r="Q81" s="64">
        <v>46724</v>
      </c>
      <c r="R81" s="62" t="s">
        <v>2440</v>
      </c>
      <c r="S81" s="30" t="s">
        <v>2436</v>
      </c>
      <c r="T81" s="9" t="s">
        <v>2443</v>
      </c>
      <c r="U81" s="21" t="s">
        <v>2774</v>
      </c>
      <c r="V81" s="21" t="s">
        <v>2775</v>
      </c>
      <c r="W81" s="21">
        <v>2550</v>
      </c>
      <c r="X81" s="60">
        <v>111756.166</v>
      </c>
      <c r="Y81" s="60">
        <v>101192.01</v>
      </c>
      <c r="Z81" s="2" t="s">
        <v>3741</v>
      </c>
      <c r="AA81" s="46"/>
      <c r="AB81" s="46"/>
      <c r="AC81" s="46"/>
      <c r="AD81" s="46"/>
      <c r="AE81" s="46"/>
      <c r="AF81" s="46"/>
      <c r="AG81" s="43"/>
      <c r="AH81" s="43"/>
      <c r="AI81" s="2"/>
      <c r="AJ81" s="1"/>
      <c r="AK81" s="46"/>
      <c r="AL81" s="46"/>
      <c r="AM81" s="44">
        <f t="shared" si="3"/>
        <v>0</v>
      </c>
      <c r="AN81" s="45">
        <f t="shared" si="4"/>
        <v>0</v>
      </c>
      <c r="AO81" s="46"/>
    </row>
    <row r="82" spans="1:41" ht="12.75">
      <c r="A82" s="215" t="s">
        <v>2414</v>
      </c>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119">
        <f>AM46+AM47+AM48+AM51+AM56+AM57+AM58+AM59+AM62+AM65+AM69</f>
        <v>237784.49012478316</v>
      </c>
      <c r="AN82" s="119">
        <f>AN46+AN47+AN48+AN51+AN56+AN57+AN58+AN59+AN62+AN65+AN69</f>
        <v>160625.12610091388</v>
      </c>
      <c r="AO82" s="46"/>
    </row>
    <row r="83" spans="1:43" ht="12.75">
      <c r="A83" s="213" t="s">
        <v>2415</v>
      </c>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73">
        <f>SUM(AM42:AM81)-AM52-AM53-AM66-AM67</f>
        <v>399178.82764542324</v>
      </c>
      <c r="AN83" s="73">
        <f>SUM(AN42:AN81)-AN52-AN53-AN66-AN67</f>
        <v>245627.5307601138</v>
      </c>
      <c r="AO83" s="46"/>
      <c r="AP83" s="97"/>
      <c r="AQ83" s="97"/>
    </row>
    <row r="84" spans="1:43" ht="12.75">
      <c r="A84" s="1">
        <v>70</v>
      </c>
      <c r="B84" s="1" t="s">
        <v>56</v>
      </c>
      <c r="C84" s="1" t="s">
        <v>4</v>
      </c>
      <c r="D84" s="1">
        <v>4</v>
      </c>
      <c r="E84" s="1" t="s">
        <v>934</v>
      </c>
      <c r="F84" s="22" t="s">
        <v>951</v>
      </c>
      <c r="G84" s="21" t="s">
        <v>2454</v>
      </c>
      <c r="H84" s="1" t="s">
        <v>4166</v>
      </c>
      <c r="I84" s="1" t="s">
        <v>4127</v>
      </c>
      <c r="J84" s="63">
        <v>29104391</v>
      </c>
      <c r="K84" s="1" t="s">
        <v>2438</v>
      </c>
      <c r="L84" s="1">
        <v>3447000</v>
      </c>
      <c r="M84" s="1" t="s">
        <v>3735</v>
      </c>
      <c r="N84" s="1" t="s">
        <v>4181</v>
      </c>
      <c r="O84" s="1">
        <v>3428</v>
      </c>
      <c r="P84" s="64">
        <v>43073</v>
      </c>
      <c r="Q84" s="64">
        <v>46724</v>
      </c>
      <c r="R84" s="62" t="s">
        <v>2440</v>
      </c>
      <c r="S84" s="30" t="s">
        <v>2436</v>
      </c>
      <c r="T84" s="9" t="s">
        <v>2443</v>
      </c>
      <c r="U84" s="22" t="s">
        <v>943</v>
      </c>
      <c r="V84" s="22" t="s">
        <v>2776</v>
      </c>
      <c r="W84" s="22">
        <v>2561</v>
      </c>
      <c r="X84" s="60">
        <v>117296.577</v>
      </c>
      <c r="Y84" s="60">
        <v>102733.098</v>
      </c>
      <c r="Z84" s="2" t="s">
        <v>3741</v>
      </c>
      <c r="AA84" s="46"/>
      <c r="AB84" s="46"/>
      <c r="AC84" s="46"/>
      <c r="AD84" s="46"/>
      <c r="AE84" s="46"/>
      <c r="AF84" s="46"/>
      <c r="AG84" s="43"/>
      <c r="AH84" s="43"/>
      <c r="AI84" s="2"/>
      <c r="AJ84" s="1"/>
      <c r="AK84" s="46"/>
      <c r="AL84" s="46"/>
      <c r="AM84" s="44">
        <f t="shared" si="3"/>
        <v>0</v>
      </c>
      <c r="AN84" s="45">
        <f t="shared" si="4"/>
        <v>0</v>
      </c>
      <c r="AO84" s="46"/>
      <c r="AP84" s="97"/>
      <c r="AQ84" s="97"/>
    </row>
    <row r="85" spans="1:41" ht="12.75">
      <c r="A85" s="1">
        <v>71</v>
      </c>
      <c r="B85" s="1" t="s">
        <v>56</v>
      </c>
      <c r="C85" s="1" t="s">
        <v>4</v>
      </c>
      <c r="D85" s="1">
        <v>4</v>
      </c>
      <c r="E85" s="1" t="s">
        <v>935</v>
      </c>
      <c r="F85" s="22" t="s">
        <v>951</v>
      </c>
      <c r="G85" s="21" t="s">
        <v>2454</v>
      </c>
      <c r="H85" s="1" t="s">
        <v>4166</v>
      </c>
      <c r="I85" s="1" t="s">
        <v>4127</v>
      </c>
      <c r="J85" s="63">
        <v>29104391</v>
      </c>
      <c r="K85" s="1" t="s">
        <v>2438</v>
      </c>
      <c r="L85" s="1">
        <v>3447000</v>
      </c>
      <c r="M85" s="1" t="s">
        <v>3735</v>
      </c>
      <c r="N85" s="1" t="s">
        <v>4181</v>
      </c>
      <c r="O85" s="1">
        <v>3428</v>
      </c>
      <c r="P85" s="64">
        <v>43073</v>
      </c>
      <c r="Q85" s="64">
        <v>46724</v>
      </c>
      <c r="R85" s="62" t="s">
        <v>2440</v>
      </c>
      <c r="S85" s="29" t="s">
        <v>2441</v>
      </c>
      <c r="T85" s="9" t="s">
        <v>2443</v>
      </c>
      <c r="U85" s="22" t="s">
        <v>944</v>
      </c>
      <c r="V85" s="22" t="s">
        <v>2777</v>
      </c>
      <c r="W85" s="22">
        <v>2561</v>
      </c>
      <c r="X85" s="60">
        <v>117297.49</v>
      </c>
      <c r="Y85" s="60">
        <v>102730.34</v>
      </c>
      <c r="Z85" s="2" t="s">
        <v>3741</v>
      </c>
      <c r="AA85" s="46"/>
      <c r="AB85" s="46"/>
      <c r="AC85" s="46"/>
      <c r="AD85" s="46"/>
      <c r="AE85" s="46"/>
      <c r="AF85" s="46"/>
      <c r="AG85" s="43"/>
      <c r="AH85" s="43"/>
      <c r="AI85" s="2"/>
      <c r="AJ85" s="1"/>
      <c r="AK85" s="46"/>
      <c r="AL85" s="46"/>
      <c r="AM85" s="44">
        <f t="shared" si="3"/>
        <v>0</v>
      </c>
      <c r="AN85" s="45">
        <f t="shared" si="4"/>
        <v>0</v>
      </c>
      <c r="AO85" s="46"/>
    </row>
    <row r="86" spans="1:41" ht="47.25" customHeight="1">
      <c r="A86" s="1">
        <v>72</v>
      </c>
      <c r="B86" s="1" t="s">
        <v>56</v>
      </c>
      <c r="C86" s="1" t="s">
        <v>4</v>
      </c>
      <c r="D86" s="1">
        <v>4</v>
      </c>
      <c r="E86" s="1" t="s">
        <v>3780</v>
      </c>
      <c r="F86" s="22" t="s">
        <v>951</v>
      </c>
      <c r="G86" s="21" t="s">
        <v>2454</v>
      </c>
      <c r="H86" s="1" t="s">
        <v>4166</v>
      </c>
      <c r="I86" s="1" t="s">
        <v>4127</v>
      </c>
      <c r="J86" s="63">
        <v>29104391</v>
      </c>
      <c r="K86" s="1" t="s">
        <v>2438</v>
      </c>
      <c r="L86" s="1">
        <v>3447000</v>
      </c>
      <c r="M86" s="1" t="s">
        <v>3735</v>
      </c>
      <c r="N86" s="1" t="s">
        <v>4181</v>
      </c>
      <c r="O86" s="1">
        <v>3428</v>
      </c>
      <c r="P86" s="64">
        <v>43073</v>
      </c>
      <c r="Q86" s="64">
        <v>46724</v>
      </c>
      <c r="R86" s="62" t="s">
        <v>2440</v>
      </c>
      <c r="S86" s="29" t="s">
        <v>2441</v>
      </c>
      <c r="T86" s="9" t="s">
        <v>2443</v>
      </c>
      <c r="U86" s="22" t="s">
        <v>3781</v>
      </c>
      <c r="V86" s="22" t="s">
        <v>3782</v>
      </c>
      <c r="W86" s="22">
        <v>2561</v>
      </c>
      <c r="X86" s="60"/>
      <c r="Y86" s="60"/>
      <c r="Z86" s="2" t="s">
        <v>3998</v>
      </c>
      <c r="AA86" s="83">
        <v>43663</v>
      </c>
      <c r="AB86" s="13" t="s">
        <v>2406</v>
      </c>
      <c r="AC86" s="13">
        <v>203</v>
      </c>
      <c r="AD86" s="13">
        <v>185</v>
      </c>
      <c r="AE86" s="96">
        <v>12.401414440602737</v>
      </c>
      <c r="AF86" s="13">
        <v>24</v>
      </c>
      <c r="AG86" s="102">
        <f>AE86*AC86*AF86*0.0036</f>
        <v>217.51088815661953</v>
      </c>
      <c r="AH86" s="102">
        <f>AE86*AD86*AF86*0.0036</f>
        <v>198.22420841859415</v>
      </c>
      <c r="AI86" s="2">
        <v>30</v>
      </c>
      <c r="AJ86" s="1">
        <v>12</v>
      </c>
      <c r="AK86" s="13">
        <v>0.61</v>
      </c>
      <c r="AL86" s="13">
        <v>0.74</v>
      </c>
      <c r="AM86" s="44">
        <f>AG86*AI86*AJ86*AK86</f>
        <v>47765.39103919365</v>
      </c>
      <c r="AN86" s="45">
        <f>AH86*AI86*AJ86*AL86</f>
        <v>52806.929122713474</v>
      </c>
      <c r="AO86" s="2" t="s">
        <v>2457</v>
      </c>
    </row>
    <row r="87" spans="1:41" ht="12.75">
      <c r="A87" s="1">
        <v>73</v>
      </c>
      <c r="B87" s="1" t="s">
        <v>56</v>
      </c>
      <c r="C87" s="1" t="s">
        <v>4</v>
      </c>
      <c r="D87" s="1">
        <v>4</v>
      </c>
      <c r="E87" s="1" t="s">
        <v>2359</v>
      </c>
      <c r="F87" s="22" t="s">
        <v>952</v>
      </c>
      <c r="G87" s="21" t="s">
        <v>2454</v>
      </c>
      <c r="H87" s="1" t="s">
        <v>4166</v>
      </c>
      <c r="I87" s="1" t="s">
        <v>4127</v>
      </c>
      <c r="J87" s="63">
        <v>29104391</v>
      </c>
      <c r="K87" s="1" t="s">
        <v>2438</v>
      </c>
      <c r="L87" s="1">
        <v>3447000</v>
      </c>
      <c r="M87" s="1" t="s">
        <v>3735</v>
      </c>
      <c r="N87" s="1" t="s">
        <v>4181</v>
      </c>
      <c r="O87" s="1">
        <v>3428</v>
      </c>
      <c r="P87" s="64">
        <v>43073</v>
      </c>
      <c r="Q87" s="64">
        <v>46724</v>
      </c>
      <c r="R87" s="62" t="s">
        <v>2440</v>
      </c>
      <c r="S87" s="29" t="s">
        <v>2441</v>
      </c>
      <c r="T87" s="9" t="s">
        <v>2443</v>
      </c>
      <c r="U87" s="22" t="s">
        <v>945</v>
      </c>
      <c r="V87" s="22" t="s">
        <v>2778</v>
      </c>
      <c r="W87" s="22">
        <v>2559</v>
      </c>
      <c r="X87" s="60">
        <v>117104.31</v>
      </c>
      <c r="Y87" s="60">
        <v>102682.52</v>
      </c>
      <c r="Z87" s="2" t="s">
        <v>3741</v>
      </c>
      <c r="AA87" s="46"/>
      <c r="AB87" s="46"/>
      <c r="AC87" s="46"/>
      <c r="AD87" s="46"/>
      <c r="AE87" s="46"/>
      <c r="AF87" s="46"/>
      <c r="AG87" s="43"/>
      <c r="AH87" s="43"/>
      <c r="AI87" s="2"/>
      <c r="AJ87" s="1"/>
      <c r="AK87" s="46"/>
      <c r="AL87" s="46"/>
      <c r="AM87" s="44">
        <f t="shared" si="3"/>
        <v>0</v>
      </c>
      <c r="AN87" s="45">
        <f t="shared" si="4"/>
        <v>0</v>
      </c>
      <c r="AO87" s="46"/>
    </row>
    <row r="88" spans="1:41" ht="12.75">
      <c r="A88" s="1">
        <v>74</v>
      </c>
      <c r="B88" s="1" t="s">
        <v>56</v>
      </c>
      <c r="C88" s="1" t="s">
        <v>4</v>
      </c>
      <c r="D88" s="1">
        <v>4</v>
      </c>
      <c r="E88" s="1" t="s">
        <v>937</v>
      </c>
      <c r="F88" s="22" t="s">
        <v>953</v>
      </c>
      <c r="G88" s="21" t="s">
        <v>2454</v>
      </c>
      <c r="H88" s="1" t="s">
        <v>4166</v>
      </c>
      <c r="I88" s="1" t="s">
        <v>4127</v>
      </c>
      <c r="J88" s="63">
        <v>29104391</v>
      </c>
      <c r="K88" s="1" t="s">
        <v>2438</v>
      </c>
      <c r="L88" s="1">
        <v>3447000</v>
      </c>
      <c r="M88" s="1" t="s">
        <v>3735</v>
      </c>
      <c r="N88" s="1" t="s">
        <v>4181</v>
      </c>
      <c r="O88" s="1">
        <v>3428</v>
      </c>
      <c r="P88" s="64">
        <v>43073</v>
      </c>
      <c r="Q88" s="64">
        <v>46724</v>
      </c>
      <c r="R88" s="62" t="s">
        <v>2440</v>
      </c>
      <c r="S88" s="22" t="s">
        <v>2442</v>
      </c>
      <c r="T88" s="9" t="s">
        <v>2443</v>
      </c>
      <c r="U88" s="22" t="s">
        <v>946</v>
      </c>
      <c r="V88" s="22" t="s">
        <v>2779</v>
      </c>
      <c r="W88" s="22">
        <v>2558</v>
      </c>
      <c r="X88" s="60">
        <v>116928.35</v>
      </c>
      <c r="Y88" s="60">
        <v>102679.66</v>
      </c>
      <c r="Z88" s="2" t="s">
        <v>3741</v>
      </c>
      <c r="AA88" s="46"/>
      <c r="AB88" s="46"/>
      <c r="AC88" s="46"/>
      <c r="AD88" s="46"/>
      <c r="AE88" s="46"/>
      <c r="AF88" s="46"/>
      <c r="AG88" s="43"/>
      <c r="AH88" s="43"/>
      <c r="AI88" s="2"/>
      <c r="AJ88" s="1"/>
      <c r="AK88" s="46"/>
      <c r="AL88" s="46"/>
      <c r="AM88" s="44">
        <f t="shared" si="3"/>
        <v>0</v>
      </c>
      <c r="AN88" s="45">
        <f t="shared" si="4"/>
        <v>0</v>
      </c>
      <c r="AO88" s="46"/>
    </row>
    <row r="89" spans="1:41" ht="12.75">
      <c r="A89" s="1">
        <v>75</v>
      </c>
      <c r="B89" s="1" t="s">
        <v>56</v>
      </c>
      <c r="C89" s="1" t="s">
        <v>4</v>
      </c>
      <c r="D89" s="1">
        <v>4</v>
      </c>
      <c r="E89" s="1" t="s">
        <v>938</v>
      </c>
      <c r="F89" s="22" t="s">
        <v>953</v>
      </c>
      <c r="G89" s="21" t="s">
        <v>2454</v>
      </c>
      <c r="H89" s="1" t="s">
        <v>4166</v>
      </c>
      <c r="I89" s="1" t="s">
        <v>4127</v>
      </c>
      <c r="J89" s="63">
        <v>29104391</v>
      </c>
      <c r="K89" s="1" t="s">
        <v>2438</v>
      </c>
      <c r="L89" s="1">
        <v>3447000</v>
      </c>
      <c r="M89" s="1" t="s">
        <v>3735</v>
      </c>
      <c r="N89" s="1" t="s">
        <v>4181</v>
      </c>
      <c r="O89" s="1">
        <v>3428</v>
      </c>
      <c r="P89" s="64">
        <v>43073</v>
      </c>
      <c r="Q89" s="64">
        <v>46724</v>
      </c>
      <c r="R89" s="62" t="s">
        <v>2440</v>
      </c>
      <c r="S89" s="29" t="s">
        <v>2441</v>
      </c>
      <c r="T89" s="9" t="s">
        <v>2443</v>
      </c>
      <c r="U89" s="22" t="s">
        <v>947</v>
      </c>
      <c r="V89" s="22" t="s">
        <v>2780</v>
      </c>
      <c r="W89" s="22">
        <v>2559</v>
      </c>
      <c r="X89" s="60">
        <v>116893.21</v>
      </c>
      <c r="Y89" s="60">
        <v>102672.1</v>
      </c>
      <c r="Z89" s="2" t="s">
        <v>3741</v>
      </c>
      <c r="AA89" s="46"/>
      <c r="AB89" s="46"/>
      <c r="AC89" s="46"/>
      <c r="AD89" s="46"/>
      <c r="AE89" s="46"/>
      <c r="AF89" s="46"/>
      <c r="AG89" s="43"/>
      <c r="AH89" s="43"/>
      <c r="AI89" s="2"/>
      <c r="AJ89" s="1"/>
      <c r="AK89" s="46"/>
      <c r="AL89" s="46"/>
      <c r="AM89" s="44">
        <f t="shared" si="3"/>
        <v>0</v>
      </c>
      <c r="AN89" s="45">
        <f t="shared" si="4"/>
        <v>0</v>
      </c>
      <c r="AO89" s="46"/>
    </row>
    <row r="90" spans="1:41" ht="12.75">
      <c r="A90" s="1">
        <v>76</v>
      </c>
      <c r="B90" s="1" t="s">
        <v>56</v>
      </c>
      <c r="C90" s="1" t="s">
        <v>4</v>
      </c>
      <c r="D90" s="1">
        <v>4</v>
      </c>
      <c r="E90" s="1" t="s">
        <v>939</v>
      </c>
      <c r="F90" s="22" t="s">
        <v>954</v>
      </c>
      <c r="G90" s="21" t="s">
        <v>2454</v>
      </c>
      <c r="H90" s="1" t="s">
        <v>4166</v>
      </c>
      <c r="I90" s="1" t="s">
        <v>4127</v>
      </c>
      <c r="J90" s="63">
        <v>29104391</v>
      </c>
      <c r="K90" s="1" t="s">
        <v>2438</v>
      </c>
      <c r="L90" s="1">
        <v>3447000</v>
      </c>
      <c r="M90" s="1" t="s">
        <v>3735</v>
      </c>
      <c r="N90" s="1" t="s">
        <v>4181</v>
      </c>
      <c r="O90" s="1">
        <v>3428</v>
      </c>
      <c r="P90" s="64">
        <v>43073</v>
      </c>
      <c r="Q90" s="64">
        <v>46724</v>
      </c>
      <c r="R90" s="62" t="s">
        <v>2440</v>
      </c>
      <c r="S90" s="29" t="s">
        <v>2441</v>
      </c>
      <c r="T90" s="9" t="s">
        <v>2443</v>
      </c>
      <c r="U90" s="22" t="s">
        <v>948</v>
      </c>
      <c r="V90" s="22" t="s">
        <v>2781</v>
      </c>
      <c r="W90" s="22">
        <v>2560</v>
      </c>
      <c r="X90" s="60">
        <v>116759.75</v>
      </c>
      <c r="Y90" s="60">
        <v>102665.61</v>
      </c>
      <c r="Z90" s="2" t="s">
        <v>3741</v>
      </c>
      <c r="AA90" s="46"/>
      <c r="AB90" s="46"/>
      <c r="AC90" s="46"/>
      <c r="AD90" s="46"/>
      <c r="AE90" s="46"/>
      <c r="AF90" s="46"/>
      <c r="AG90" s="43"/>
      <c r="AH90" s="43"/>
      <c r="AI90" s="2"/>
      <c r="AJ90" s="1"/>
      <c r="AK90" s="46"/>
      <c r="AL90" s="46"/>
      <c r="AM90" s="44">
        <f t="shared" si="3"/>
        <v>0</v>
      </c>
      <c r="AN90" s="45">
        <f t="shared" si="4"/>
        <v>0</v>
      </c>
      <c r="AO90" s="46"/>
    </row>
    <row r="91" spans="1:41" ht="12.75">
      <c r="A91" s="1">
        <v>77</v>
      </c>
      <c r="B91" s="1" t="s">
        <v>56</v>
      </c>
      <c r="C91" s="1" t="s">
        <v>4</v>
      </c>
      <c r="D91" s="1">
        <v>4</v>
      </c>
      <c r="E91" s="1" t="s">
        <v>940</v>
      </c>
      <c r="F91" s="22" t="s">
        <v>955</v>
      </c>
      <c r="G91" s="21" t="s">
        <v>2454</v>
      </c>
      <c r="H91" s="1" t="s">
        <v>4166</v>
      </c>
      <c r="I91" s="1" t="s">
        <v>4127</v>
      </c>
      <c r="J91" s="63">
        <v>29104391</v>
      </c>
      <c r="K91" s="1" t="s">
        <v>2438</v>
      </c>
      <c r="L91" s="1">
        <v>3447000</v>
      </c>
      <c r="M91" s="1" t="s">
        <v>3735</v>
      </c>
      <c r="N91" s="1" t="s">
        <v>4181</v>
      </c>
      <c r="O91" s="1">
        <v>3428</v>
      </c>
      <c r="P91" s="64">
        <v>43073</v>
      </c>
      <c r="Q91" s="64">
        <v>46724</v>
      </c>
      <c r="R91" s="62" t="s">
        <v>2440</v>
      </c>
      <c r="S91" s="22" t="s">
        <v>2442</v>
      </c>
      <c r="T91" s="9" t="s">
        <v>2443</v>
      </c>
      <c r="U91" s="22" t="s">
        <v>949</v>
      </c>
      <c r="V91" s="22" t="s">
        <v>2782</v>
      </c>
      <c r="W91" s="22">
        <v>2560</v>
      </c>
      <c r="X91" s="60">
        <v>116576.96</v>
      </c>
      <c r="Y91" s="60">
        <v>102642.84</v>
      </c>
      <c r="Z91" s="2" t="s">
        <v>3741</v>
      </c>
      <c r="AA91" s="46"/>
      <c r="AB91" s="46"/>
      <c r="AC91" s="46"/>
      <c r="AD91" s="46"/>
      <c r="AE91" s="46"/>
      <c r="AF91" s="46"/>
      <c r="AG91" s="43"/>
      <c r="AH91" s="43"/>
      <c r="AI91" s="2"/>
      <c r="AJ91" s="1"/>
      <c r="AK91" s="46"/>
      <c r="AL91" s="46"/>
      <c r="AM91" s="44">
        <f t="shared" si="3"/>
        <v>0</v>
      </c>
      <c r="AN91" s="45">
        <f t="shared" si="4"/>
        <v>0</v>
      </c>
      <c r="AO91" s="46"/>
    </row>
    <row r="92" spans="1:41" ht="12.75">
      <c r="A92" s="1">
        <v>78</v>
      </c>
      <c r="B92" s="1" t="s">
        <v>56</v>
      </c>
      <c r="C92" s="1" t="s">
        <v>4</v>
      </c>
      <c r="D92" s="1">
        <v>4</v>
      </c>
      <c r="E92" s="1" t="s">
        <v>941</v>
      </c>
      <c r="F92" s="22" t="s">
        <v>956</v>
      </c>
      <c r="G92" s="21" t="s">
        <v>2454</v>
      </c>
      <c r="H92" s="1" t="s">
        <v>4166</v>
      </c>
      <c r="I92" s="1" t="s">
        <v>4127</v>
      </c>
      <c r="J92" s="63">
        <v>29104391</v>
      </c>
      <c r="K92" s="1" t="s">
        <v>2438</v>
      </c>
      <c r="L92" s="1">
        <v>3447000</v>
      </c>
      <c r="M92" s="1" t="s">
        <v>3735</v>
      </c>
      <c r="N92" s="1" t="s">
        <v>4181</v>
      </c>
      <c r="O92" s="1">
        <v>3428</v>
      </c>
      <c r="P92" s="64">
        <v>43073</v>
      </c>
      <c r="Q92" s="64">
        <v>46724</v>
      </c>
      <c r="R92" s="62" t="s">
        <v>2440</v>
      </c>
      <c r="S92" s="29" t="s">
        <v>2441</v>
      </c>
      <c r="T92" s="9" t="s">
        <v>2443</v>
      </c>
      <c r="U92" s="22" t="s">
        <v>2783</v>
      </c>
      <c r="V92" s="22" t="s">
        <v>2784</v>
      </c>
      <c r="W92" s="22">
        <v>2559</v>
      </c>
      <c r="X92" s="60">
        <v>116526.78</v>
      </c>
      <c r="Y92" s="60">
        <v>102633.64</v>
      </c>
      <c r="Z92" s="2" t="s">
        <v>3741</v>
      </c>
      <c r="AA92" s="46"/>
      <c r="AB92" s="46"/>
      <c r="AC92" s="46"/>
      <c r="AD92" s="46"/>
      <c r="AE92" s="46"/>
      <c r="AF92" s="46"/>
      <c r="AG92" s="43"/>
      <c r="AH92" s="43"/>
      <c r="AI92" s="2"/>
      <c r="AJ92" s="1"/>
      <c r="AK92" s="46"/>
      <c r="AL92" s="46"/>
      <c r="AM92" s="44">
        <f t="shared" si="3"/>
        <v>0</v>
      </c>
      <c r="AN92" s="45">
        <f t="shared" si="4"/>
        <v>0</v>
      </c>
      <c r="AO92" s="46"/>
    </row>
    <row r="93" spans="1:41" ht="12.75">
      <c r="A93" s="1">
        <v>79</v>
      </c>
      <c r="B93" s="1" t="s">
        <v>56</v>
      </c>
      <c r="C93" s="1" t="s">
        <v>4</v>
      </c>
      <c r="D93" s="1">
        <v>4</v>
      </c>
      <c r="E93" s="1" t="s">
        <v>942</v>
      </c>
      <c r="F93" s="22" t="s">
        <v>957</v>
      </c>
      <c r="G93" s="21" t="s">
        <v>2454</v>
      </c>
      <c r="H93" s="1" t="s">
        <v>4166</v>
      </c>
      <c r="I93" s="1" t="s">
        <v>4127</v>
      </c>
      <c r="J93" s="63">
        <v>29104391</v>
      </c>
      <c r="K93" s="1" t="s">
        <v>2438</v>
      </c>
      <c r="L93" s="1">
        <v>3447000</v>
      </c>
      <c r="M93" s="1" t="s">
        <v>3735</v>
      </c>
      <c r="N93" s="1" t="s">
        <v>4181</v>
      </c>
      <c r="O93" s="1">
        <v>3428</v>
      </c>
      <c r="P93" s="64">
        <v>43073</v>
      </c>
      <c r="Q93" s="64">
        <v>46724</v>
      </c>
      <c r="R93" s="62" t="s">
        <v>2440</v>
      </c>
      <c r="S93" s="29" t="s">
        <v>2441</v>
      </c>
      <c r="T93" s="9" t="s">
        <v>2443</v>
      </c>
      <c r="U93" s="22" t="s">
        <v>950</v>
      </c>
      <c r="V93" s="22" t="s">
        <v>2785</v>
      </c>
      <c r="W93" s="22">
        <v>2559</v>
      </c>
      <c r="X93" s="60">
        <v>116379.45</v>
      </c>
      <c r="Y93" s="60">
        <v>102623.36</v>
      </c>
      <c r="Z93" s="2" t="s">
        <v>3741</v>
      </c>
      <c r="AA93" s="46"/>
      <c r="AB93" s="46"/>
      <c r="AC93" s="46"/>
      <c r="AD93" s="46"/>
      <c r="AE93" s="46"/>
      <c r="AF93" s="46"/>
      <c r="AG93" s="43"/>
      <c r="AH93" s="43"/>
      <c r="AI93" s="2"/>
      <c r="AJ93" s="1"/>
      <c r="AK93" s="46"/>
      <c r="AL93" s="46"/>
      <c r="AM93" s="44">
        <f t="shared" si="3"/>
        <v>0</v>
      </c>
      <c r="AN93" s="45">
        <f t="shared" si="4"/>
        <v>0</v>
      </c>
      <c r="AO93" s="46"/>
    </row>
    <row r="94" spans="1:41" ht="47.25" customHeight="1">
      <c r="A94" s="1">
        <v>80</v>
      </c>
      <c r="B94" s="1" t="s">
        <v>56</v>
      </c>
      <c r="C94" s="1" t="s">
        <v>4</v>
      </c>
      <c r="D94" s="1">
        <v>4</v>
      </c>
      <c r="E94" s="1" t="s">
        <v>423</v>
      </c>
      <c r="F94" s="1" t="s">
        <v>2042</v>
      </c>
      <c r="G94" s="21" t="s">
        <v>2454</v>
      </c>
      <c r="H94" s="1" t="s">
        <v>4166</v>
      </c>
      <c r="I94" s="1" t="s">
        <v>4127</v>
      </c>
      <c r="J94" s="63">
        <v>29104391</v>
      </c>
      <c r="K94" s="1" t="s">
        <v>2438</v>
      </c>
      <c r="L94" s="1">
        <v>3447000</v>
      </c>
      <c r="M94" s="1" t="s">
        <v>3735</v>
      </c>
      <c r="N94" s="1" t="s">
        <v>4181</v>
      </c>
      <c r="O94" s="1">
        <v>3428</v>
      </c>
      <c r="P94" s="64">
        <v>43073</v>
      </c>
      <c r="Q94" s="64">
        <v>46724</v>
      </c>
      <c r="R94" s="62" t="s">
        <v>2440</v>
      </c>
      <c r="S94" s="29" t="s">
        <v>2441</v>
      </c>
      <c r="T94" s="9" t="s">
        <v>2443</v>
      </c>
      <c r="U94" s="22" t="s">
        <v>958</v>
      </c>
      <c r="V94" s="22" t="s">
        <v>2786</v>
      </c>
      <c r="W94" s="22">
        <v>2559</v>
      </c>
      <c r="X94" s="60">
        <v>116191.88</v>
      </c>
      <c r="Y94" s="60">
        <v>102611.62</v>
      </c>
      <c r="Z94" s="2" t="s">
        <v>3783</v>
      </c>
      <c r="AA94" s="67">
        <v>43782</v>
      </c>
      <c r="AB94" s="50">
        <v>0.4368055555555555</v>
      </c>
      <c r="AC94" s="2"/>
      <c r="AD94" s="2"/>
      <c r="AE94" s="2"/>
      <c r="AF94" s="2"/>
      <c r="AG94" s="43"/>
      <c r="AH94" s="43"/>
      <c r="AI94" s="2"/>
      <c r="AJ94" s="1"/>
      <c r="AK94" s="1"/>
      <c r="AL94" s="1"/>
      <c r="AM94" s="117">
        <f t="shared" si="3"/>
        <v>0</v>
      </c>
      <c r="AN94" s="118">
        <f t="shared" si="4"/>
        <v>0</v>
      </c>
      <c r="AO94" s="2" t="s">
        <v>2457</v>
      </c>
    </row>
    <row r="95" spans="1:41" ht="12.75">
      <c r="A95" s="1">
        <v>81</v>
      </c>
      <c r="B95" s="1" t="s">
        <v>56</v>
      </c>
      <c r="C95" s="1" t="s">
        <v>4</v>
      </c>
      <c r="D95" s="1">
        <v>4</v>
      </c>
      <c r="E95" s="1" t="s">
        <v>959</v>
      </c>
      <c r="F95" s="22" t="s">
        <v>972</v>
      </c>
      <c r="G95" s="21" t="s">
        <v>2454</v>
      </c>
      <c r="H95" s="1" t="s">
        <v>4166</v>
      </c>
      <c r="I95" s="1" t="s">
        <v>4127</v>
      </c>
      <c r="J95" s="63">
        <v>29104391</v>
      </c>
      <c r="K95" s="1" t="s">
        <v>2438</v>
      </c>
      <c r="L95" s="1">
        <v>3447000</v>
      </c>
      <c r="M95" s="1" t="s">
        <v>3735</v>
      </c>
      <c r="N95" s="1" t="s">
        <v>4181</v>
      </c>
      <c r="O95" s="1">
        <v>3428</v>
      </c>
      <c r="P95" s="64">
        <v>43073</v>
      </c>
      <c r="Q95" s="64">
        <v>46724</v>
      </c>
      <c r="R95" s="62" t="s">
        <v>2440</v>
      </c>
      <c r="S95" s="29" t="s">
        <v>2441</v>
      </c>
      <c r="T95" s="9" t="s">
        <v>2443</v>
      </c>
      <c r="U95" s="22" t="s">
        <v>966</v>
      </c>
      <c r="V95" s="22" t="s">
        <v>2787</v>
      </c>
      <c r="W95" s="22">
        <v>2560</v>
      </c>
      <c r="X95" s="60">
        <v>115951.96</v>
      </c>
      <c r="Y95" s="60">
        <v>102597.65</v>
      </c>
      <c r="Z95" s="2" t="s">
        <v>3741</v>
      </c>
      <c r="AA95" s="46"/>
      <c r="AB95" s="46"/>
      <c r="AC95" s="46"/>
      <c r="AD95" s="46"/>
      <c r="AE95" s="46"/>
      <c r="AF95" s="46"/>
      <c r="AG95" s="43"/>
      <c r="AH95" s="43"/>
      <c r="AI95" s="2"/>
      <c r="AJ95" s="1"/>
      <c r="AK95" s="46"/>
      <c r="AL95" s="46"/>
      <c r="AM95" s="44">
        <f t="shared" si="3"/>
        <v>0</v>
      </c>
      <c r="AN95" s="45">
        <f t="shared" si="4"/>
        <v>0</v>
      </c>
      <c r="AO95" s="46"/>
    </row>
    <row r="96" spans="1:41" ht="12.75">
      <c r="A96" s="1">
        <v>82</v>
      </c>
      <c r="B96" s="1" t="s">
        <v>56</v>
      </c>
      <c r="C96" s="1" t="s">
        <v>4</v>
      </c>
      <c r="D96" s="1">
        <v>4</v>
      </c>
      <c r="E96" s="1" t="s">
        <v>960</v>
      </c>
      <c r="F96" s="22" t="s">
        <v>973</v>
      </c>
      <c r="G96" s="21" t="s">
        <v>2454</v>
      </c>
      <c r="H96" s="1" t="s">
        <v>4166</v>
      </c>
      <c r="I96" s="1" t="s">
        <v>4127</v>
      </c>
      <c r="J96" s="63">
        <v>29104391</v>
      </c>
      <c r="K96" s="1" t="s">
        <v>2438</v>
      </c>
      <c r="L96" s="1">
        <v>3447000</v>
      </c>
      <c r="M96" s="1" t="s">
        <v>3735</v>
      </c>
      <c r="N96" s="1" t="s">
        <v>4181</v>
      </c>
      <c r="O96" s="1">
        <v>3428</v>
      </c>
      <c r="P96" s="64">
        <v>43073</v>
      </c>
      <c r="Q96" s="64">
        <v>46724</v>
      </c>
      <c r="R96" s="62" t="s">
        <v>2440</v>
      </c>
      <c r="S96" s="22" t="s">
        <v>2442</v>
      </c>
      <c r="T96" s="9" t="s">
        <v>2443</v>
      </c>
      <c r="U96" s="22" t="s">
        <v>967</v>
      </c>
      <c r="V96" s="22" t="s">
        <v>2788</v>
      </c>
      <c r="W96" s="22">
        <v>2560</v>
      </c>
      <c r="X96" s="60">
        <v>115889.37</v>
      </c>
      <c r="Y96" s="60">
        <v>102598.4</v>
      </c>
      <c r="Z96" s="2" t="s">
        <v>3741</v>
      </c>
      <c r="AA96" s="46"/>
      <c r="AB96" s="46"/>
      <c r="AC96" s="46"/>
      <c r="AD96" s="46"/>
      <c r="AE96" s="46"/>
      <c r="AF96" s="46"/>
      <c r="AG96" s="43"/>
      <c r="AH96" s="43"/>
      <c r="AI96" s="2"/>
      <c r="AJ96" s="1"/>
      <c r="AK96" s="46"/>
      <c r="AL96" s="46"/>
      <c r="AM96" s="44">
        <f t="shared" si="3"/>
        <v>0</v>
      </c>
      <c r="AN96" s="45">
        <f t="shared" si="4"/>
        <v>0</v>
      </c>
      <c r="AO96" s="46"/>
    </row>
    <row r="97" spans="1:41" ht="12.75">
      <c r="A97" s="1">
        <v>83</v>
      </c>
      <c r="B97" s="1" t="s">
        <v>56</v>
      </c>
      <c r="C97" s="1" t="s">
        <v>4</v>
      </c>
      <c r="D97" s="1">
        <v>4</v>
      </c>
      <c r="E97" s="1" t="s">
        <v>961</v>
      </c>
      <c r="F97" s="22" t="s">
        <v>974</v>
      </c>
      <c r="G97" s="21" t="s">
        <v>2454</v>
      </c>
      <c r="H97" s="1" t="s">
        <v>4166</v>
      </c>
      <c r="I97" s="1" t="s">
        <v>4127</v>
      </c>
      <c r="J97" s="63">
        <v>29104391</v>
      </c>
      <c r="K97" s="1" t="s">
        <v>2438</v>
      </c>
      <c r="L97" s="1">
        <v>3447000</v>
      </c>
      <c r="M97" s="1" t="s">
        <v>3735</v>
      </c>
      <c r="N97" s="1" t="s">
        <v>4181</v>
      </c>
      <c r="O97" s="1">
        <v>3428</v>
      </c>
      <c r="P97" s="64">
        <v>43073</v>
      </c>
      <c r="Q97" s="64">
        <v>46724</v>
      </c>
      <c r="R97" s="62" t="s">
        <v>2440</v>
      </c>
      <c r="S97" s="29" t="s">
        <v>2441</v>
      </c>
      <c r="T97" s="9" t="s">
        <v>2443</v>
      </c>
      <c r="U97" s="22" t="s">
        <v>968</v>
      </c>
      <c r="V97" s="22" t="s">
        <v>2789</v>
      </c>
      <c r="W97" s="22">
        <v>2561</v>
      </c>
      <c r="X97" s="60">
        <v>115816.39</v>
      </c>
      <c r="Y97" s="60">
        <v>102562.52</v>
      </c>
      <c r="Z97" s="2" t="s">
        <v>3741</v>
      </c>
      <c r="AA97" s="46"/>
      <c r="AB97" s="46"/>
      <c r="AC97" s="46"/>
      <c r="AD97" s="46"/>
      <c r="AE97" s="46"/>
      <c r="AF97" s="46"/>
      <c r="AG97" s="43"/>
      <c r="AH97" s="43"/>
      <c r="AI97" s="2"/>
      <c r="AJ97" s="1"/>
      <c r="AK97" s="46"/>
      <c r="AL97" s="46"/>
      <c r="AM97" s="44">
        <f t="shared" si="3"/>
        <v>0</v>
      </c>
      <c r="AN97" s="45">
        <f t="shared" si="4"/>
        <v>0</v>
      </c>
      <c r="AO97" s="46"/>
    </row>
    <row r="98" spans="1:41" ht="12.75">
      <c r="A98" s="1">
        <v>84</v>
      </c>
      <c r="B98" s="1" t="s">
        <v>56</v>
      </c>
      <c r="C98" s="1" t="s">
        <v>4</v>
      </c>
      <c r="D98" s="1">
        <v>4</v>
      </c>
      <c r="E98" s="1" t="s">
        <v>962</v>
      </c>
      <c r="F98" s="22" t="s">
        <v>974</v>
      </c>
      <c r="G98" s="21" t="s">
        <v>2454</v>
      </c>
      <c r="H98" s="1" t="s">
        <v>4166</v>
      </c>
      <c r="I98" s="1" t="s">
        <v>4127</v>
      </c>
      <c r="J98" s="63">
        <v>29104391</v>
      </c>
      <c r="K98" s="1" t="s">
        <v>2438</v>
      </c>
      <c r="L98" s="1">
        <v>3447000</v>
      </c>
      <c r="M98" s="1" t="s">
        <v>3735</v>
      </c>
      <c r="N98" s="1" t="s">
        <v>4181</v>
      </c>
      <c r="O98" s="1">
        <v>3428</v>
      </c>
      <c r="P98" s="64">
        <v>43073</v>
      </c>
      <c r="Q98" s="64">
        <v>46724</v>
      </c>
      <c r="R98" s="62" t="s">
        <v>2440</v>
      </c>
      <c r="S98" s="22" t="s">
        <v>2442</v>
      </c>
      <c r="T98" s="9" t="s">
        <v>2443</v>
      </c>
      <c r="U98" s="22" t="s">
        <v>969</v>
      </c>
      <c r="V98" s="22" t="s">
        <v>2790</v>
      </c>
      <c r="W98" s="22">
        <v>2561</v>
      </c>
      <c r="X98" s="60">
        <v>115771.88</v>
      </c>
      <c r="Y98" s="60">
        <v>102556.87</v>
      </c>
      <c r="Z98" s="2" t="s">
        <v>3741</v>
      </c>
      <c r="AA98" s="46"/>
      <c r="AB98" s="46"/>
      <c r="AC98" s="46"/>
      <c r="AD98" s="46"/>
      <c r="AE98" s="46"/>
      <c r="AF98" s="46"/>
      <c r="AG98" s="43"/>
      <c r="AH98" s="43"/>
      <c r="AI98" s="2"/>
      <c r="AJ98" s="1"/>
      <c r="AK98" s="46"/>
      <c r="AL98" s="46"/>
      <c r="AM98" s="44">
        <f t="shared" si="3"/>
        <v>0</v>
      </c>
      <c r="AN98" s="45">
        <f t="shared" si="4"/>
        <v>0</v>
      </c>
      <c r="AO98" s="46"/>
    </row>
    <row r="99" spans="1:41" ht="12.75">
      <c r="A99" s="1">
        <v>85</v>
      </c>
      <c r="B99" s="1" t="s">
        <v>56</v>
      </c>
      <c r="C99" s="1" t="s">
        <v>4</v>
      </c>
      <c r="D99" s="1">
        <v>4</v>
      </c>
      <c r="E99" s="1" t="s">
        <v>963</v>
      </c>
      <c r="F99" s="22" t="s">
        <v>974</v>
      </c>
      <c r="G99" s="21" t="s">
        <v>2454</v>
      </c>
      <c r="H99" s="1" t="s">
        <v>4166</v>
      </c>
      <c r="I99" s="1" t="s">
        <v>4127</v>
      </c>
      <c r="J99" s="63">
        <v>29104391</v>
      </c>
      <c r="K99" s="1" t="s">
        <v>2438</v>
      </c>
      <c r="L99" s="1">
        <v>3447000</v>
      </c>
      <c r="M99" s="1" t="s">
        <v>3735</v>
      </c>
      <c r="N99" s="1" t="s">
        <v>4181</v>
      </c>
      <c r="O99" s="1">
        <v>3428</v>
      </c>
      <c r="P99" s="64">
        <v>43073</v>
      </c>
      <c r="Q99" s="64">
        <v>46724</v>
      </c>
      <c r="R99" s="62" t="s">
        <v>2440</v>
      </c>
      <c r="S99" s="29" t="s">
        <v>2441</v>
      </c>
      <c r="T99" s="9" t="s">
        <v>2443</v>
      </c>
      <c r="U99" s="22" t="s">
        <v>970</v>
      </c>
      <c r="V99" s="22" t="s">
        <v>2791</v>
      </c>
      <c r="W99" s="22">
        <v>2560</v>
      </c>
      <c r="X99" s="60">
        <v>115760.16</v>
      </c>
      <c r="Y99" s="60">
        <v>102536.59</v>
      </c>
      <c r="Z99" s="2" t="s">
        <v>3741</v>
      </c>
      <c r="AA99" s="46"/>
      <c r="AB99" s="46"/>
      <c r="AC99" s="46"/>
      <c r="AD99" s="46"/>
      <c r="AE99" s="46"/>
      <c r="AF99" s="46"/>
      <c r="AG99" s="43"/>
      <c r="AH99" s="43"/>
      <c r="AI99" s="2"/>
      <c r="AJ99" s="1"/>
      <c r="AK99" s="46"/>
      <c r="AL99" s="46"/>
      <c r="AM99" s="44">
        <f t="shared" si="3"/>
        <v>0</v>
      </c>
      <c r="AN99" s="45">
        <f t="shared" si="4"/>
        <v>0</v>
      </c>
      <c r="AO99" s="46"/>
    </row>
    <row r="100" spans="1:41" ht="12.75">
      <c r="A100" s="1">
        <v>86</v>
      </c>
      <c r="B100" s="1" t="s">
        <v>56</v>
      </c>
      <c r="C100" s="1" t="s">
        <v>4</v>
      </c>
      <c r="D100" s="1">
        <v>4</v>
      </c>
      <c r="E100" s="1" t="s">
        <v>964</v>
      </c>
      <c r="F100" s="22" t="s">
        <v>975</v>
      </c>
      <c r="G100" s="21" t="s">
        <v>2454</v>
      </c>
      <c r="H100" s="1" t="s">
        <v>4166</v>
      </c>
      <c r="I100" s="1" t="s">
        <v>4127</v>
      </c>
      <c r="J100" s="63">
        <v>29104391</v>
      </c>
      <c r="K100" s="1" t="s">
        <v>2438</v>
      </c>
      <c r="L100" s="1">
        <v>3447000</v>
      </c>
      <c r="M100" s="1" t="s">
        <v>3735</v>
      </c>
      <c r="N100" s="1" t="s">
        <v>4181</v>
      </c>
      <c r="O100" s="1">
        <v>3428</v>
      </c>
      <c r="P100" s="64">
        <v>43073</v>
      </c>
      <c r="Q100" s="64">
        <v>46724</v>
      </c>
      <c r="R100" s="62" t="s">
        <v>2440</v>
      </c>
      <c r="S100" s="29" t="s">
        <v>2441</v>
      </c>
      <c r="T100" s="9" t="s">
        <v>2443</v>
      </c>
      <c r="U100" s="22" t="s">
        <v>971</v>
      </c>
      <c r="V100" s="22" t="s">
        <v>2792</v>
      </c>
      <c r="W100" s="22">
        <v>2559</v>
      </c>
      <c r="X100" s="60">
        <v>115618.81</v>
      </c>
      <c r="Y100" s="60">
        <v>102488.89</v>
      </c>
      <c r="Z100" s="2" t="s">
        <v>3741</v>
      </c>
      <c r="AA100" s="46"/>
      <c r="AB100" s="46"/>
      <c r="AC100" s="46"/>
      <c r="AD100" s="46"/>
      <c r="AE100" s="46"/>
      <c r="AF100" s="46"/>
      <c r="AG100" s="43"/>
      <c r="AH100" s="43"/>
      <c r="AI100" s="2"/>
      <c r="AJ100" s="1"/>
      <c r="AK100" s="46"/>
      <c r="AL100" s="46"/>
      <c r="AM100" s="44">
        <f t="shared" si="3"/>
        <v>0</v>
      </c>
      <c r="AN100" s="45">
        <f t="shared" si="4"/>
        <v>0</v>
      </c>
      <c r="AO100" s="46"/>
    </row>
    <row r="101" spans="1:41" ht="12.75">
      <c r="A101" s="1">
        <v>87</v>
      </c>
      <c r="B101" s="1" t="s">
        <v>56</v>
      </c>
      <c r="C101" s="1" t="s">
        <v>4</v>
      </c>
      <c r="D101" s="1">
        <v>4</v>
      </c>
      <c r="E101" s="1" t="s">
        <v>965</v>
      </c>
      <c r="F101" s="22" t="s">
        <v>976</v>
      </c>
      <c r="G101" s="21" t="s">
        <v>2454</v>
      </c>
      <c r="H101" s="1" t="s">
        <v>4166</v>
      </c>
      <c r="I101" s="1" t="s">
        <v>4127</v>
      </c>
      <c r="J101" s="63">
        <v>29104391</v>
      </c>
      <c r="K101" s="1" t="s">
        <v>2438</v>
      </c>
      <c r="L101" s="1">
        <v>3447000</v>
      </c>
      <c r="M101" s="1" t="s">
        <v>3735</v>
      </c>
      <c r="N101" s="1" t="s">
        <v>4181</v>
      </c>
      <c r="O101" s="1">
        <v>3428</v>
      </c>
      <c r="P101" s="64">
        <v>43073</v>
      </c>
      <c r="Q101" s="64">
        <v>46724</v>
      </c>
      <c r="R101" s="62" t="s">
        <v>2440</v>
      </c>
      <c r="S101" s="22" t="s">
        <v>2442</v>
      </c>
      <c r="T101" s="9" t="s">
        <v>2443</v>
      </c>
      <c r="U101" s="22" t="s">
        <v>2793</v>
      </c>
      <c r="V101" s="22" t="s">
        <v>2794</v>
      </c>
      <c r="W101" s="22">
        <v>2558</v>
      </c>
      <c r="X101" s="60">
        <v>115524.06</v>
      </c>
      <c r="Y101" s="60">
        <v>102485.49</v>
      </c>
      <c r="Z101" s="2" t="s">
        <v>3741</v>
      </c>
      <c r="AA101" s="46"/>
      <c r="AB101" s="46"/>
      <c r="AC101" s="46"/>
      <c r="AD101" s="46"/>
      <c r="AE101" s="46"/>
      <c r="AF101" s="46"/>
      <c r="AG101" s="43"/>
      <c r="AH101" s="43"/>
      <c r="AI101" s="2"/>
      <c r="AJ101" s="1"/>
      <c r="AK101" s="46"/>
      <c r="AL101" s="46"/>
      <c r="AM101" s="44">
        <f t="shared" si="3"/>
        <v>0</v>
      </c>
      <c r="AN101" s="45">
        <f t="shared" si="4"/>
        <v>0</v>
      </c>
      <c r="AO101" s="46"/>
    </row>
    <row r="102" spans="1:41" ht="76.5" customHeight="1">
      <c r="A102" s="1">
        <v>88</v>
      </c>
      <c r="B102" s="1" t="s">
        <v>56</v>
      </c>
      <c r="C102" s="1" t="s">
        <v>4</v>
      </c>
      <c r="D102" s="1">
        <v>4</v>
      </c>
      <c r="E102" s="1" t="s">
        <v>424</v>
      </c>
      <c r="F102" s="1" t="s">
        <v>2043</v>
      </c>
      <c r="G102" s="21" t="s">
        <v>2454</v>
      </c>
      <c r="H102" s="1" t="s">
        <v>4166</v>
      </c>
      <c r="I102" s="1" t="s">
        <v>4127</v>
      </c>
      <c r="J102" s="63">
        <v>29104391</v>
      </c>
      <c r="K102" s="1" t="s">
        <v>2438</v>
      </c>
      <c r="L102" s="1">
        <v>3447000</v>
      </c>
      <c r="M102" s="1" t="s">
        <v>3735</v>
      </c>
      <c r="N102" s="1" t="s">
        <v>4181</v>
      </c>
      <c r="O102" s="1">
        <v>3428</v>
      </c>
      <c r="P102" s="64">
        <v>43073</v>
      </c>
      <c r="Q102" s="64">
        <v>46724</v>
      </c>
      <c r="R102" s="62" t="s">
        <v>2440</v>
      </c>
      <c r="S102" s="22" t="s">
        <v>2442</v>
      </c>
      <c r="T102" s="9" t="s">
        <v>2443</v>
      </c>
      <c r="U102" s="22" t="s">
        <v>977</v>
      </c>
      <c r="V102" s="22" t="s">
        <v>2795</v>
      </c>
      <c r="W102" s="22">
        <v>2559</v>
      </c>
      <c r="X102" s="60">
        <v>115414.66</v>
      </c>
      <c r="Y102" s="60">
        <v>102458.55</v>
      </c>
      <c r="Z102" s="2" t="s">
        <v>4048</v>
      </c>
      <c r="AA102" s="67">
        <v>43663</v>
      </c>
      <c r="AB102" s="2" t="s">
        <v>3784</v>
      </c>
      <c r="AC102" s="2">
        <v>51.6</v>
      </c>
      <c r="AD102" s="2">
        <v>28.57</v>
      </c>
      <c r="AE102" s="2">
        <v>0.996</v>
      </c>
      <c r="AF102" s="2">
        <v>24</v>
      </c>
      <c r="AG102" s="102">
        <f>AE102*AC102*AF102*0.0036</f>
        <v>4.44040704</v>
      </c>
      <c r="AH102" s="102">
        <f>AE102*AD102*AF102*0.0036</f>
        <v>2.458574208</v>
      </c>
      <c r="AI102" s="2">
        <v>30</v>
      </c>
      <c r="AJ102" s="1">
        <v>12</v>
      </c>
      <c r="AK102" s="1">
        <v>0.68</v>
      </c>
      <c r="AL102" s="1">
        <v>0.72</v>
      </c>
      <c r="AM102" s="117">
        <f>AG102*AI102*AJ102*AK102</f>
        <v>1087.0116433920002</v>
      </c>
      <c r="AN102" s="118">
        <f t="shared" si="4"/>
        <v>637.2624347135999</v>
      </c>
      <c r="AO102" s="2" t="s">
        <v>2457</v>
      </c>
    </row>
    <row r="103" spans="1:41" ht="12.75">
      <c r="A103" s="1">
        <v>89</v>
      </c>
      <c r="B103" s="1" t="s">
        <v>56</v>
      </c>
      <c r="C103" s="1" t="s">
        <v>4</v>
      </c>
      <c r="D103" s="1">
        <v>4</v>
      </c>
      <c r="E103" s="1" t="s">
        <v>978</v>
      </c>
      <c r="F103" s="22" t="s">
        <v>982</v>
      </c>
      <c r="G103" s="21" t="s">
        <v>2454</v>
      </c>
      <c r="H103" s="1" t="s">
        <v>4166</v>
      </c>
      <c r="I103" s="1" t="s">
        <v>4127</v>
      </c>
      <c r="J103" s="63">
        <v>29104391</v>
      </c>
      <c r="K103" s="1" t="s">
        <v>2438</v>
      </c>
      <c r="L103" s="1">
        <v>3447000</v>
      </c>
      <c r="M103" s="1" t="s">
        <v>3735</v>
      </c>
      <c r="N103" s="1" t="s">
        <v>4181</v>
      </c>
      <c r="O103" s="1">
        <v>3428</v>
      </c>
      <c r="P103" s="64">
        <v>43073</v>
      </c>
      <c r="Q103" s="64">
        <v>46724</v>
      </c>
      <c r="R103" s="62" t="s">
        <v>2440</v>
      </c>
      <c r="S103" s="29" t="s">
        <v>2441</v>
      </c>
      <c r="T103" s="9" t="s">
        <v>2443</v>
      </c>
      <c r="U103" s="22" t="s">
        <v>980</v>
      </c>
      <c r="V103" s="22" t="s">
        <v>2796</v>
      </c>
      <c r="W103" s="22">
        <v>2559</v>
      </c>
      <c r="X103" s="60">
        <v>115394.4</v>
      </c>
      <c r="Y103" s="60">
        <v>102445.09</v>
      </c>
      <c r="Z103" s="2" t="s">
        <v>3741</v>
      </c>
      <c r="AA103" s="46"/>
      <c r="AB103" s="46"/>
      <c r="AC103" s="46"/>
      <c r="AD103" s="46"/>
      <c r="AE103" s="46"/>
      <c r="AF103" s="46"/>
      <c r="AG103" s="43"/>
      <c r="AH103" s="43"/>
      <c r="AI103" s="2"/>
      <c r="AJ103" s="1"/>
      <c r="AK103" s="46"/>
      <c r="AL103" s="46"/>
      <c r="AM103" s="44">
        <f t="shared" si="3"/>
        <v>0</v>
      </c>
      <c r="AN103" s="45">
        <f t="shared" si="4"/>
        <v>0</v>
      </c>
      <c r="AO103" s="46"/>
    </row>
    <row r="104" spans="1:41" ht="12.75">
      <c r="A104" s="1">
        <v>90</v>
      </c>
      <c r="B104" s="1" t="s">
        <v>56</v>
      </c>
      <c r="C104" s="1" t="s">
        <v>4</v>
      </c>
      <c r="D104" s="1">
        <v>4</v>
      </c>
      <c r="E104" s="1" t="s">
        <v>979</v>
      </c>
      <c r="F104" s="22" t="s">
        <v>983</v>
      </c>
      <c r="G104" s="21" t="s">
        <v>2454</v>
      </c>
      <c r="H104" s="1" t="s">
        <v>4166</v>
      </c>
      <c r="I104" s="1" t="s">
        <v>4127</v>
      </c>
      <c r="J104" s="63">
        <v>29104391</v>
      </c>
      <c r="K104" s="1" t="s">
        <v>2438</v>
      </c>
      <c r="L104" s="1">
        <v>3447000</v>
      </c>
      <c r="M104" s="1" t="s">
        <v>3735</v>
      </c>
      <c r="N104" s="1" t="s">
        <v>4181</v>
      </c>
      <c r="O104" s="1">
        <v>3428</v>
      </c>
      <c r="P104" s="64">
        <v>43073</v>
      </c>
      <c r="Q104" s="64">
        <v>46724</v>
      </c>
      <c r="R104" s="62" t="s">
        <v>2440</v>
      </c>
      <c r="S104" s="29" t="s">
        <v>2441</v>
      </c>
      <c r="T104" s="9" t="s">
        <v>2443</v>
      </c>
      <c r="U104" s="22" t="s">
        <v>981</v>
      </c>
      <c r="V104" s="22" t="s">
        <v>2797</v>
      </c>
      <c r="W104" s="22">
        <v>2560</v>
      </c>
      <c r="X104" s="60">
        <v>115260.46</v>
      </c>
      <c r="Y104" s="60">
        <v>102417.09</v>
      </c>
      <c r="Z104" s="2" t="s">
        <v>3741</v>
      </c>
      <c r="AA104" s="46"/>
      <c r="AB104" s="46"/>
      <c r="AC104" s="46"/>
      <c r="AD104" s="46"/>
      <c r="AE104" s="46"/>
      <c r="AF104" s="46"/>
      <c r="AG104" s="43"/>
      <c r="AH104" s="43"/>
      <c r="AI104" s="2"/>
      <c r="AJ104" s="1"/>
      <c r="AK104" s="46"/>
      <c r="AL104" s="46"/>
      <c r="AM104" s="44">
        <f t="shared" si="3"/>
        <v>0</v>
      </c>
      <c r="AN104" s="45">
        <f t="shared" si="4"/>
        <v>0</v>
      </c>
      <c r="AO104" s="46"/>
    </row>
    <row r="105" spans="1:41" ht="48" customHeight="1">
      <c r="A105" s="1">
        <v>91</v>
      </c>
      <c r="B105" s="1" t="s">
        <v>56</v>
      </c>
      <c r="C105" s="1" t="s">
        <v>4</v>
      </c>
      <c r="D105" s="1">
        <v>4</v>
      </c>
      <c r="E105" s="1" t="s">
        <v>425</v>
      </c>
      <c r="F105" s="1" t="s">
        <v>2044</v>
      </c>
      <c r="G105" s="21" t="s">
        <v>2454</v>
      </c>
      <c r="H105" s="1" t="s">
        <v>4166</v>
      </c>
      <c r="I105" s="1" t="s">
        <v>4127</v>
      </c>
      <c r="J105" s="63">
        <v>29104391</v>
      </c>
      <c r="K105" s="1" t="s">
        <v>2438</v>
      </c>
      <c r="L105" s="1">
        <v>3447000</v>
      </c>
      <c r="M105" s="1" t="s">
        <v>3735</v>
      </c>
      <c r="N105" s="1" t="s">
        <v>4181</v>
      </c>
      <c r="O105" s="1">
        <v>3428</v>
      </c>
      <c r="P105" s="64">
        <v>43073</v>
      </c>
      <c r="Q105" s="64">
        <v>46724</v>
      </c>
      <c r="R105" s="62" t="s">
        <v>2440</v>
      </c>
      <c r="S105" s="22" t="s">
        <v>2442</v>
      </c>
      <c r="T105" s="9" t="s">
        <v>2443</v>
      </c>
      <c r="U105" s="1" t="s">
        <v>14</v>
      </c>
      <c r="V105" s="1" t="s">
        <v>2798</v>
      </c>
      <c r="W105" s="22">
        <v>2560</v>
      </c>
      <c r="X105" s="60">
        <v>115125.8</v>
      </c>
      <c r="Y105" s="60">
        <v>102405.69</v>
      </c>
      <c r="Z105" s="2" t="s">
        <v>4046</v>
      </c>
      <c r="AA105" s="67"/>
      <c r="AB105" s="2"/>
      <c r="AC105" s="2"/>
      <c r="AD105" s="2"/>
      <c r="AE105" s="2"/>
      <c r="AF105" s="2"/>
      <c r="AG105" s="43"/>
      <c r="AH105" s="43"/>
      <c r="AI105" s="2"/>
      <c r="AJ105" s="1"/>
      <c r="AK105" s="1"/>
      <c r="AL105" s="1"/>
      <c r="AM105" s="117">
        <f>AVERAGE(AM106:AM107)</f>
        <v>2502.6553670399994</v>
      </c>
      <c r="AN105" s="117">
        <f>AVERAGE(AN106:AN107)</f>
        <v>845.9271785663998</v>
      </c>
      <c r="AO105" s="2" t="s">
        <v>2457</v>
      </c>
    </row>
    <row r="106" spans="1:41" ht="30.75" customHeight="1">
      <c r="A106" s="1"/>
      <c r="B106" s="1"/>
      <c r="C106" s="1"/>
      <c r="D106" s="1"/>
      <c r="E106" s="1"/>
      <c r="F106" s="1"/>
      <c r="G106" s="21"/>
      <c r="H106" s="1"/>
      <c r="I106" s="1"/>
      <c r="J106" s="63"/>
      <c r="K106" s="1"/>
      <c r="L106" s="1"/>
      <c r="M106" s="1"/>
      <c r="N106" s="1"/>
      <c r="O106" s="1"/>
      <c r="P106" s="64"/>
      <c r="Q106" s="64"/>
      <c r="R106" s="62"/>
      <c r="S106" s="22"/>
      <c r="T106" s="9"/>
      <c r="U106" s="1"/>
      <c r="V106" s="1"/>
      <c r="W106" s="22"/>
      <c r="X106" s="60"/>
      <c r="Y106" s="60"/>
      <c r="Z106" s="2" t="s">
        <v>3753</v>
      </c>
      <c r="AA106" s="67">
        <v>43787</v>
      </c>
      <c r="AB106" s="2" t="s">
        <v>2460</v>
      </c>
      <c r="AC106" s="2">
        <v>59</v>
      </c>
      <c r="AD106" s="2">
        <v>14</v>
      </c>
      <c r="AE106" s="2">
        <v>3.789</v>
      </c>
      <c r="AF106" s="2">
        <v>24</v>
      </c>
      <c r="AG106" s="102">
        <f>AE106*AC106*AF106*0.0036</f>
        <v>19.3148064</v>
      </c>
      <c r="AH106" s="102">
        <f>AE106*AD106*AF106*0.0036</f>
        <v>4.5831744</v>
      </c>
      <c r="AI106" s="2">
        <v>30</v>
      </c>
      <c r="AJ106" s="1">
        <v>12</v>
      </c>
      <c r="AK106" s="1">
        <v>0.65</v>
      </c>
      <c r="AL106" s="1">
        <v>0.83</v>
      </c>
      <c r="AM106" s="127">
        <f>AG106*AI106*AJ106*AK106</f>
        <v>4519.664697599999</v>
      </c>
      <c r="AN106" s="128">
        <f>AH106*AI106*AJ106*AL106</f>
        <v>1369.4525107199997</v>
      </c>
      <c r="AO106" s="2"/>
    </row>
    <row r="107" spans="1:41" ht="37.5" customHeight="1">
      <c r="A107" s="1"/>
      <c r="B107" s="1"/>
      <c r="C107" s="1"/>
      <c r="D107" s="1"/>
      <c r="E107" s="1"/>
      <c r="F107" s="1"/>
      <c r="G107" s="21"/>
      <c r="H107" s="1"/>
      <c r="I107" s="1"/>
      <c r="J107" s="63"/>
      <c r="K107" s="1"/>
      <c r="L107" s="1"/>
      <c r="M107" s="1"/>
      <c r="N107" s="1"/>
      <c r="O107" s="1"/>
      <c r="P107" s="64"/>
      <c r="Q107" s="64"/>
      <c r="R107" s="62"/>
      <c r="S107" s="22"/>
      <c r="T107" s="9"/>
      <c r="U107" s="1"/>
      <c r="V107" s="1"/>
      <c r="W107" s="22"/>
      <c r="X107" s="60"/>
      <c r="Y107" s="60"/>
      <c r="Z107" s="2" t="s">
        <v>3999</v>
      </c>
      <c r="AA107" s="67">
        <v>43663</v>
      </c>
      <c r="AB107" s="2" t="s">
        <v>3785</v>
      </c>
      <c r="AC107" s="2">
        <v>41</v>
      </c>
      <c r="AD107" s="2">
        <v>23.33</v>
      </c>
      <c r="AE107" s="2">
        <v>0.577</v>
      </c>
      <c r="AF107" s="2">
        <v>24</v>
      </c>
      <c r="AG107" s="102">
        <f>AE107*AC107*AF107*0.0036</f>
        <v>2.0439647999999995</v>
      </c>
      <c r="AH107" s="102">
        <f>AE107*AD107*AF107*0.0036</f>
        <v>1.1630658239999996</v>
      </c>
      <c r="AI107" s="2">
        <v>30</v>
      </c>
      <c r="AJ107" s="1">
        <v>12</v>
      </c>
      <c r="AK107" s="1">
        <v>0.66</v>
      </c>
      <c r="AL107" s="1">
        <v>0.77</v>
      </c>
      <c r="AM107" s="127">
        <f>AG107*AI107*AJ107*AK107</f>
        <v>485.6460364799999</v>
      </c>
      <c r="AN107" s="128">
        <f>AH107*AI107*AJ107*AL107</f>
        <v>322.4018464127999</v>
      </c>
      <c r="AO107" s="2"/>
    </row>
    <row r="108" spans="1:41" ht="12.75">
      <c r="A108" s="1">
        <v>92</v>
      </c>
      <c r="B108" s="1" t="s">
        <v>56</v>
      </c>
      <c r="C108" s="1" t="s">
        <v>4</v>
      </c>
      <c r="D108" s="1">
        <v>4</v>
      </c>
      <c r="E108" s="1" t="s">
        <v>984</v>
      </c>
      <c r="F108" s="22" t="s">
        <v>993</v>
      </c>
      <c r="G108" s="21" t="s">
        <v>2454</v>
      </c>
      <c r="H108" s="1" t="s">
        <v>4166</v>
      </c>
      <c r="I108" s="1" t="s">
        <v>4127</v>
      </c>
      <c r="J108" s="63">
        <v>29104391</v>
      </c>
      <c r="K108" s="1" t="s">
        <v>2438</v>
      </c>
      <c r="L108" s="1">
        <v>3447000</v>
      </c>
      <c r="M108" s="1" t="s">
        <v>3735</v>
      </c>
      <c r="N108" s="1" t="s">
        <v>4181</v>
      </c>
      <c r="O108" s="1">
        <v>3428</v>
      </c>
      <c r="P108" s="64">
        <v>43073</v>
      </c>
      <c r="Q108" s="64">
        <v>46724</v>
      </c>
      <c r="R108" s="62" t="s">
        <v>2440</v>
      </c>
      <c r="S108" s="29" t="s">
        <v>2441</v>
      </c>
      <c r="T108" s="9" t="s">
        <v>2443</v>
      </c>
      <c r="U108" s="22" t="s">
        <v>2799</v>
      </c>
      <c r="V108" s="22" t="s">
        <v>2800</v>
      </c>
      <c r="W108" s="22">
        <v>2558</v>
      </c>
      <c r="X108" s="60">
        <v>115045.28</v>
      </c>
      <c r="Y108" s="60">
        <v>102385.66</v>
      </c>
      <c r="Z108" s="2" t="s">
        <v>3741</v>
      </c>
      <c r="AA108" s="46"/>
      <c r="AB108" s="46"/>
      <c r="AC108" s="46"/>
      <c r="AD108" s="46"/>
      <c r="AE108" s="46"/>
      <c r="AF108" s="46"/>
      <c r="AG108" s="43"/>
      <c r="AH108" s="43"/>
      <c r="AI108" s="2"/>
      <c r="AJ108" s="1"/>
      <c r="AK108" s="46"/>
      <c r="AL108" s="46"/>
      <c r="AM108" s="44">
        <f t="shared" si="3"/>
        <v>0</v>
      </c>
      <c r="AN108" s="45">
        <f t="shared" si="4"/>
        <v>0</v>
      </c>
      <c r="AO108" s="46"/>
    </row>
    <row r="109" spans="1:41" ht="12.75">
      <c r="A109" s="1">
        <v>93</v>
      </c>
      <c r="B109" s="1" t="s">
        <v>56</v>
      </c>
      <c r="C109" s="1" t="s">
        <v>4</v>
      </c>
      <c r="D109" s="1">
        <v>4</v>
      </c>
      <c r="E109" s="1" t="s">
        <v>985</v>
      </c>
      <c r="F109" s="22" t="s">
        <v>994</v>
      </c>
      <c r="G109" s="21" t="s">
        <v>2454</v>
      </c>
      <c r="H109" s="1" t="s">
        <v>4166</v>
      </c>
      <c r="I109" s="1" t="s">
        <v>4127</v>
      </c>
      <c r="J109" s="63">
        <v>29104391</v>
      </c>
      <c r="K109" s="1" t="s">
        <v>2438</v>
      </c>
      <c r="L109" s="1">
        <v>3447000</v>
      </c>
      <c r="M109" s="1" t="s">
        <v>3735</v>
      </c>
      <c r="N109" s="1" t="s">
        <v>4181</v>
      </c>
      <c r="O109" s="1">
        <v>3428</v>
      </c>
      <c r="P109" s="64">
        <v>43073</v>
      </c>
      <c r="Q109" s="64">
        <v>46724</v>
      </c>
      <c r="R109" s="62" t="s">
        <v>2440</v>
      </c>
      <c r="S109" s="22" t="s">
        <v>2442</v>
      </c>
      <c r="T109" s="9" t="s">
        <v>2443</v>
      </c>
      <c r="U109" s="22" t="s">
        <v>990</v>
      </c>
      <c r="V109" s="22" t="s">
        <v>2801</v>
      </c>
      <c r="W109" s="22">
        <v>2557</v>
      </c>
      <c r="X109" s="60">
        <v>114985.79</v>
      </c>
      <c r="Y109" s="60">
        <v>102387.2</v>
      </c>
      <c r="Z109" s="2" t="s">
        <v>3741</v>
      </c>
      <c r="AA109" s="46"/>
      <c r="AB109" s="46"/>
      <c r="AC109" s="46"/>
      <c r="AD109" s="46"/>
      <c r="AE109" s="46"/>
      <c r="AF109" s="46"/>
      <c r="AG109" s="43"/>
      <c r="AH109" s="43"/>
      <c r="AI109" s="2"/>
      <c r="AJ109" s="1"/>
      <c r="AK109" s="46"/>
      <c r="AL109" s="46"/>
      <c r="AM109" s="44">
        <f t="shared" si="3"/>
        <v>0</v>
      </c>
      <c r="AN109" s="45">
        <f t="shared" si="4"/>
        <v>0</v>
      </c>
      <c r="AO109" s="46"/>
    </row>
    <row r="110" spans="1:41" ht="12.75">
      <c r="A110" s="1">
        <v>94</v>
      </c>
      <c r="B110" s="1" t="s">
        <v>56</v>
      </c>
      <c r="C110" s="1" t="s">
        <v>4</v>
      </c>
      <c r="D110" s="1">
        <v>4</v>
      </c>
      <c r="E110" s="1" t="s">
        <v>986</v>
      </c>
      <c r="F110" s="22" t="s">
        <v>995</v>
      </c>
      <c r="G110" s="21" t="s">
        <v>2454</v>
      </c>
      <c r="H110" s="1" t="s">
        <v>4166</v>
      </c>
      <c r="I110" s="1" t="s">
        <v>4127</v>
      </c>
      <c r="J110" s="63">
        <v>29104391</v>
      </c>
      <c r="K110" s="1" t="s">
        <v>2438</v>
      </c>
      <c r="L110" s="1">
        <v>3447000</v>
      </c>
      <c r="M110" s="1" t="s">
        <v>3735</v>
      </c>
      <c r="N110" s="1" t="s">
        <v>4181</v>
      </c>
      <c r="O110" s="1">
        <v>3428</v>
      </c>
      <c r="P110" s="64">
        <v>43073</v>
      </c>
      <c r="Q110" s="64">
        <v>46724</v>
      </c>
      <c r="R110" s="62" t="s">
        <v>2440</v>
      </c>
      <c r="S110" s="29" t="s">
        <v>2441</v>
      </c>
      <c r="T110" s="9" t="s">
        <v>2443</v>
      </c>
      <c r="U110" s="22" t="s">
        <v>2802</v>
      </c>
      <c r="V110" s="22" t="s">
        <v>2803</v>
      </c>
      <c r="W110" s="22">
        <v>2558</v>
      </c>
      <c r="X110" s="60">
        <v>114867.97</v>
      </c>
      <c r="Y110" s="60">
        <v>102372.12</v>
      </c>
      <c r="Z110" s="2" t="s">
        <v>3741</v>
      </c>
      <c r="AA110" s="46"/>
      <c r="AB110" s="46"/>
      <c r="AC110" s="46"/>
      <c r="AD110" s="46"/>
      <c r="AE110" s="46"/>
      <c r="AF110" s="46"/>
      <c r="AG110" s="43"/>
      <c r="AH110" s="43"/>
      <c r="AI110" s="2"/>
      <c r="AJ110" s="1"/>
      <c r="AK110" s="46"/>
      <c r="AL110" s="46"/>
      <c r="AM110" s="44">
        <f t="shared" si="3"/>
        <v>0</v>
      </c>
      <c r="AN110" s="45">
        <f t="shared" si="4"/>
        <v>0</v>
      </c>
      <c r="AO110" s="46"/>
    </row>
    <row r="111" spans="1:41" ht="12.75">
      <c r="A111" s="1">
        <v>95</v>
      </c>
      <c r="B111" s="1" t="s">
        <v>56</v>
      </c>
      <c r="C111" s="1" t="s">
        <v>4</v>
      </c>
      <c r="D111" s="1">
        <v>4</v>
      </c>
      <c r="E111" s="1" t="s">
        <v>987</v>
      </c>
      <c r="F111" s="22" t="s">
        <v>996</v>
      </c>
      <c r="G111" s="21" t="s">
        <v>2454</v>
      </c>
      <c r="H111" s="1" t="s">
        <v>4166</v>
      </c>
      <c r="I111" s="1" t="s">
        <v>4127</v>
      </c>
      <c r="J111" s="63">
        <v>29104391</v>
      </c>
      <c r="K111" s="1" t="s">
        <v>2438</v>
      </c>
      <c r="L111" s="1">
        <v>3447000</v>
      </c>
      <c r="M111" s="1" t="s">
        <v>3735</v>
      </c>
      <c r="N111" s="1" t="s">
        <v>4181</v>
      </c>
      <c r="O111" s="1">
        <v>3428</v>
      </c>
      <c r="P111" s="64">
        <v>43073</v>
      </c>
      <c r="Q111" s="64">
        <v>46724</v>
      </c>
      <c r="R111" s="62" t="s">
        <v>2440</v>
      </c>
      <c r="S111" s="22" t="s">
        <v>2442</v>
      </c>
      <c r="T111" s="9" t="s">
        <v>2443</v>
      </c>
      <c r="U111" s="22" t="s">
        <v>991</v>
      </c>
      <c r="V111" s="22" t="s">
        <v>2804</v>
      </c>
      <c r="W111" s="22">
        <v>2557</v>
      </c>
      <c r="X111" s="60">
        <v>114786.66</v>
      </c>
      <c r="Y111" s="60">
        <v>102361.82</v>
      </c>
      <c r="Z111" s="2" t="s">
        <v>3741</v>
      </c>
      <c r="AA111" s="46"/>
      <c r="AB111" s="46"/>
      <c r="AC111" s="46"/>
      <c r="AD111" s="46"/>
      <c r="AE111" s="46"/>
      <c r="AF111" s="46"/>
      <c r="AG111" s="43"/>
      <c r="AH111" s="43"/>
      <c r="AI111" s="2"/>
      <c r="AJ111" s="1"/>
      <c r="AK111" s="46"/>
      <c r="AL111" s="46"/>
      <c r="AM111" s="44">
        <f t="shared" si="3"/>
        <v>0</v>
      </c>
      <c r="AN111" s="45">
        <f t="shared" si="4"/>
        <v>0</v>
      </c>
      <c r="AO111" s="46"/>
    </row>
    <row r="112" spans="1:41" ht="12.75">
      <c r="A112" s="1">
        <v>96</v>
      </c>
      <c r="B112" s="1" t="s">
        <v>56</v>
      </c>
      <c r="C112" s="1" t="s">
        <v>4</v>
      </c>
      <c r="D112" s="1">
        <v>4</v>
      </c>
      <c r="E112" s="1" t="s">
        <v>988</v>
      </c>
      <c r="F112" s="22" t="s">
        <v>997</v>
      </c>
      <c r="G112" s="21" t="s">
        <v>2454</v>
      </c>
      <c r="H112" s="1" t="s">
        <v>4166</v>
      </c>
      <c r="I112" s="1" t="s">
        <v>4127</v>
      </c>
      <c r="J112" s="63">
        <v>29104391</v>
      </c>
      <c r="K112" s="1" t="s">
        <v>2438</v>
      </c>
      <c r="L112" s="1">
        <v>3447000</v>
      </c>
      <c r="M112" s="1" t="s">
        <v>3735</v>
      </c>
      <c r="N112" s="1" t="s">
        <v>4181</v>
      </c>
      <c r="O112" s="1">
        <v>3428</v>
      </c>
      <c r="P112" s="64">
        <v>43073</v>
      </c>
      <c r="Q112" s="64">
        <v>46724</v>
      </c>
      <c r="R112" s="62" t="s">
        <v>2440</v>
      </c>
      <c r="S112" s="22" t="s">
        <v>2442</v>
      </c>
      <c r="T112" s="9" t="s">
        <v>2443</v>
      </c>
      <c r="U112" s="22" t="s">
        <v>2805</v>
      </c>
      <c r="V112" s="22" t="s">
        <v>2806</v>
      </c>
      <c r="W112" s="22">
        <v>2556</v>
      </c>
      <c r="X112" s="60">
        <v>114619.37</v>
      </c>
      <c r="Y112" s="60">
        <v>102336.39</v>
      </c>
      <c r="Z112" s="2" t="s">
        <v>3741</v>
      </c>
      <c r="AA112" s="46"/>
      <c r="AB112" s="46"/>
      <c r="AC112" s="46"/>
      <c r="AD112" s="46"/>
      <c r="AE112" s="46"/>
      <c r="AF112" s="46"/>
      <c r="AG112" s="43"/>
      <c r="AH112" s="43"/>
      <c r="AI112" s="2"/>
      <c r="AJ112" s="1"/>
      <c r="AK112" s="46"/>
      <c r="AL112" s="46"/>
      <c r="AM112" s="44">
        <f t="shared" si="3"/>
        <v>0</v>
      </c>
      <c r="AN112" s="45">
        <f t="shared" si="4"/>
        <v>0</v>
      </c>
      <c r="AO112" s="46"/>
    </row>
    <row r="113" spans="1:41" ht="12.75">
      <c r="A113" s="1">
        <v>97</v>
      </c>
      <c r="B113" s="1" t="s">
        <v>56</v>
      </c>
      <c r="C113" s="1" t="s">
        <v>4</v>
      </c>
      <c r="D113" s="1">
        <v>4</v>
      </c>
      <c r="E113" s="1" t="s">
        <v>936</v>
      </c>
      <c r="F113" s="22" t="s">
        <v>998</v>
      </c>
      <c r="G113" s="21" t="s">
        <v>2454</v>
      </c>
      <c r="H113" s="1" t="s">
        <v>4166</v>
      </c>
      <c r="I113" s="1" t="s">
        <v>4127</v>
      </c>
      <c r="J113" s="63">
        <v>29104391</v>
      </c>
      <c r="K113" s="1" t="s">
        <v>2438</v>
      </c>
      <c r="L113" s="1">
        <v>3447000</v>
      </c>
      <c r="M113" s="1" t="s">
        <v>3735</v>
      </c>
      <c r="N113" s="1" t="s">
        <v>4181</v>
      </c>
      <c r="O113" s="1">
        <v>3428</v>
      </c>
      <c r="P113" s="64">
        <v>43073</v>
      </c>
      <c r="Q113" s="64">
        <v>46724</v>
      </c>
      <c r="R113" s="62" t="s">
        <v>2440</v>
      </c>
      <c r="S113" s="22" t="s">
        <v>2442</v>
      </c>
      <c r="T113" s="9" t="s">
        <v>2443</v>
      </c>
      <c r="U113" s="22" t="s">
        <v>2807</v>
      </c>
      <c r="V113" s="22" t="s">
        <v>2808</v>
      </c>
      <c r="W113" s="22">
        <v>2559</v>
      </c>
      <c r="X113" s="60">
        <v>117104.31</v>
      </c>
      <c r="Y113" s="60">
        <v>102682.52</v>
      </c>
      <c r="Z113" s="2" t="s">
        <v>3741</v>
      </c>
      <c r="AA113" s="46"/>
      <c r="AB113" s="46"/>
      <c r="AC113" s="46"/>
      <c r="AD113" s="46"/>
      <c r="AE113" s="46"/>
      <c r="AF113" s="46"/>
      <c r="AG113" s="43"/>
      <c r="AH113" s="43"/>
      <c r="AI113" s="2"/>
      <c r="AJ113" s="1"/>
      <c r="AK113" s="46"/>
      <c r="AL113" s="46"/>
      <c r="AM113" s="44">
        <f t="shared" si="3"/>
        <v>0</v>
      </c>
      <c r="AN113" s="45">
        <f t="shared" si="4"/>
        <v>0</v>
      </c>
      <c r="AO113" s="46"/>
    </row>
    <row r="114" spans="1:41" ht="12.75">
      <c r="A114" s="1">
        <v>98</v>
      </c>
      <c r="B114" s="1" t="s">
        <v>56</v>
      </c>
      <c r="C114" s="1" t="s">
        <v>4</v>
      </c>
      <c r="D114" s="1">
        <v>4</v>
      </c>
      <c r="E114" s="1" t="s">
        <v>989</v>
      </c>
      <c r="F114" s="22" t="s">
        <v>999</v>
      </c>
      <c r="G114" s="21" t="s">
        <v>2454</v>
      </c>
      <c r="H114" s="1" t="s">
        <v>4166</v>
      </c>
      <c r="I114" s="1" t="s">
        <v>4127</v>
      </c>
      <c r="J114" s="63">
        <v>29104391</v>
      </c>
      <c r="K114" s="1" t="s">
        <v>2438</v>
      </c>
      <c r="L114" s="1">
        <v>3447000</v>
      </c>
      <c r="M114" s="1" t="s">
        <v>3735</v>
      </c>
      <c r="N114" s="1" t="s">
        <v>4181</v>
      </c>
      <c r="O114" s="1">
        <v>3428</v>
      </c>
      <c r="P114" s="64">
        <v>43073</v>
      </c>
      <c r="Q114" s="64">
        <v>46724</v>
      </c>
      <c r="R114" s="62" t="s">
        <v>2440</v>
      </c>
      <c r="S114" s="22" t="s">
        <v>2442</v>
      </c>
      <c r="T114" s="9" t="s">
        <v>2443</v>
      </c>
      <c r="U114" s="22" t="s">
        <v>992</v>
      </c>
      <c r="V114" s="22" t="s">
        <v>2809</v>
      </c>
      <c r="W114" s="22">
        <v>2556</v>
      </c>
      <c r="X114" s="60">
        <v>114309.82</v>
      </c>
      <c r="Y114" s="60">
        <v>102272.38</v>
      </c>
      <c r="Z114" s="2" t="s">
        <v>3741</v>
      </c>
      <c r="AA114" s="46"/>
      <c r="AB114" s="46"/>
      <c r="AC114" s="46"/>
      <c r="AD114" s="46"/>
      <c r="AE114" s="46"/>
      <c r="AF114" s="46"/>
      <c r="AG114" s="43"/>
      <c r="AH114" s="43"/>
      <c r="AI114" s="2"/>
      <c r="AJ114" s="1"/>
      <c r="AK114" s="46"/>
      <c r="AL114" s="46"/>
      <c r="AM114" s="44">
        <f t="shared" si="3"/>
        <v>0</v>
      </c>
      <c r="AN114" s="45">
        <f t="shared" si="4"/>
        <v>0</v>
      </c>
      <c r="AO114" s="46"/>
    </row>
    <row r="115" spans="1:41" ht="64.5" customHeight="1">
      <c r="A115" s="1">
        <v>99</v>
      </c>
      <c r="B115" s="1" t="s">
        <v>56</v>
      </c>
      <c r="C115" s="1" t="s">
        <v>4</v>
      </c>
      <c r="D115" s="1">
        <v>4</v>
      </c>
      <c r="E115" s="1" t="s">
        <v>426</v>
      </c>
      <c r="F115" s="1" t="s">
        <v>2045</v>
      </c>
      <c r="G115" s="21" t="s">
        <v>2454</v>
      </c>
      <c r="H115" s="1" t="s">
        <v>4166</v>
      </c>
      <c r="I115" s="1" t="s">
        <v>4127</v>
      </c>
      <c r="J115" s="63">
        <v>29104391</v>
      </c>
      <c r="K115" s="1" t="s">
        <v>2438</v>
      </c>
      <c r="L115" s="1">
        <v>3447000</v>
      </c>
      <c r="M115" s="1" t="s">
        <v>3735</v>
      </c>
      <c r="N115" s="1" t="s">
        <v>4181</v>
      </c>
      <c r="O115" s="1">
        <v>3428</v>
      </c>
      <c r="P115" s="64">
        <v>43073</v>
      </c>
      <c r="Q115" s="64">
        <v>46724</v>
      </c>
      <c r="R115" s="62" t="s">
        <v>2440</v>
      </c>
      <c r="S115" s="22" t="s">
        <v>2442</v>
      </c>
      <c r="T115" s="9" t="s">
        <v>2443</v>
      </c>
      <c r="U115" s="22" t="s">
        <v>1001</v>
      </c>
      <c r="V115" s="22" t="s">
        <v>2810</v>
      </c>
      <c r="W115" s="22">
        <v>2556</v>
      </c>
      <c r="X115" s="60">
        <v>114299.79</v>
      </c>
      <c r="Y115" s="60">
        <v>102260.12</v>
      </c>
      <c r="Z115" s="2" t="s">
        <v>4142</v>
      </c>
      <c r="AA115" s="67">
        <v>43663</v>
      </c>
      <c r="AB115" s="2" t="s">
        <v>2532</v>
      </c>
      <c r="AC115" s="2">
        <v>228</v>
      </c>
      <c r="AD115" s="2">
        <v>103</v>
      </c>
      <c r="AE115" s="2">
        <v>1.372</v>
      </c>
      <c r="AF115" s="2">
        <v>24</v>
      </c>
      <c r="AG115" s="102">
        <f>AE115*AC115*AF115*0.0036</f>
        <v>27.027302400000004</v>
      </c>
      <c r="AH115" s="102">
        <f>AE115*AD115*AF115*0.0036</f>
        <v>12.2097024</v>
      </c>
      <c r="AI115" s="2">
        <v>30</v>
      </c>
      <c r="AJ115" s="1">
        <v>12</v>
      </c>
      <c r="AK115" s="1">
        <v>0.63</v>
      </c>
      <c r="AL115" s="1">
        <v>0.73</v>
      </c>
      <c r="AM115" s="117">
        <f>AG115*AI115*AJ115*AK115</f>
        <v>6129.792184320001</v>
      </c>
      <c r="AN115" s="118">
        <f>AH115*AI115*AJ115*AL115</f>
        <v>3208.70979072</v>
      </c>
      <c r="AO115" s="2" t="s">
        <v>2478</v>
      </c>
    </row>
    <row r="116" spans="1:41" ht="12.75">
      <c r="A116" s="1">
        <v>100</v>
      </c>
      <c r="B116" s="1" t="s">
        <v>56</v>
      </c>
      <c r="C116" s="1" t="s">
        <v>4</v>
      </c>
      <c r="D116" s="1">
        <v>4</v>
      </c>
      <c r="E116" s="1" t="s">
        <v>1000</v>
      </c>
      <c r="F116" s="22" t="s">
        <v>999</v>
      </c>
      <c r="G116" s="21" t="s">
        <v>2454</v>
      </c>
      <c r="H116" s="1" t="s">
        <v>4166</v>
      </c>
      <c r="I116" s="1" t="s">
        <v>4127</v>
      </c>
      <c r="J116" s="63">
        <v>29104391</v>
      </c>
      <c r="K116" s="1" t="s">
        <v>2438</v>
      </c>
      <c r="L116" s="1">
        <v>3447000</v>
      </c>
      <c r="M116" s="1" t="s">
        <v>3735</v>
      </c>
      <c r="N116" s="1" t="s">
        <v>4181</v>
      </c>
      <c r="O116" s="1">
        <v>3428</v>
      </c>
      <c r="P116" s="64">
        <v>43073</v>
      </c>
      <c r="Q116" s="64">
        <v>46724</v>
      </c>
      <c r="R116" s="62" t="s">
        <v>2440</v>
      </c>
      <c r="S116" s="29" t="s">
        <v>2441</v>
      </c>
      <c r="T116" s="9" t="s">
        <v>2443</v>
      </c>
      <c r="U116" s="22" t="s">
        <v>1002</v>
      </c>
      <c r="V116" s="22" t="s">
        <v>2811</v>
      </c>
      <c r="W116" s="22">
        <v>2556</v>
      </c>
      <c r="X116" s="60">
        <v>114282.91</v>
      </c>
      <c r="Y116" s="60">
        <v>102224.64</v>
      </c>
      <c r="Z116" s="2" t="s">
        <v>3741</v>
      </c>
      <c r="AA116" s="46"/>
      <c r="AB116" s="46"/>
      <c r="AC116" s="46"/>
      <c r="AD116" s="46"/>
      <c r="AE116" s="46"/>
      <c r="AF116" s="46"/>
      <c r="AG116" s="43"/>
      <c r="AH116" s="43"/>
      <c r="AI116" s="2"/>
      <c r="AJ116" s="1"/>
      <c r="AK116" s="46"/>
      <c r="AL116" s="46"/>
      <c r="AM116" s="44">
        <f t="shared" si="3"/>
        <v>0</v>
      </c>
      <c r="AN116" s="45">
        <f t="shared" si="4"/>
        <v>0</v>
      </c>
      <c r="AO116" s="46"/>
    </row>
    <row r="117" spans="1:41" ht="39" customHeight="1">
      <c r="A117" s="1">
        <v>101</v>
      </c>
      <c r="B117" s="1" t="s">
        <v>56</v>
      </c>
      <c r="C117" s="1" t="s">
        <v>4</v>
      </c>
      <c r="D117" s="1">
        <v>4</v>
      </c>
      <c r="E117" s="1" t="s">
        <v>427</v>
      </c>
      <c r="F117" s="1" t="s">
        <v>2046</v>
      </c>
      <c r="G117" s="21" t="s">
        <v>2454</v>
      </c>
      <c r="H117" s="1" t="s">
        <v>4166</v>
      </c>
      <c r="I117" s="1" t="s">
        <v>4127</v>
      </c>
      <c r="J117" s="63">
        <v>29104391</v>
      </c>
      <c r="K117" s="1" t="s">
        <v>2438</v>
      </c>
      <c r="L117" s="1">
        <v>3447000</v>
      </c>
      <c r="M117" s="1" t="s">
        <v>3735</v>
      </c>
      <c r="N117" s="1" t="s">
        <v>4181</v>
      </c>
      <c r="O117" s="1">
        <v>3428</v>
      </c>
      <c r="P117" s="64">
        <v>43073</v>
      </c>
      <c r="Q117" s="64">
        <v>46724</v>
      </c>
      <c r="R117" s="62" t="s">
        <v>2440</v>
      </c>
      <c r="S117" s="22" t="s">
        <v>2442</v>
      </c>
      <c r="T117" s="9" t="s">
        <v>2443</v>
      </c>
      <c r="U117" s="22" t="s">
        <v>1003</v>
      </c>
      <c r="V117" s="22" t="s">
        <v>2812</v>
      </c>
      <c r="W117" s="22">
        <v>2557</v>
      </c>
      <c r="X117" s="60">
        <v>114190.86</v>
      </c>
      <c r="Y117" s="60">
        <v>102158.68</v>
      </c>
      <c r="Z117" s="2" t="s">
        <v>3753</v>
      </c>
      <c r="AA117" s="67">
        <v>43788</v>
      </c>
      <c r="AB117" s="2" t="s">
        <v>2527</v>
      </c>
      <c r="AC117" s="2">
        <v>71</v>
      </c>
      <c r="AD117" s="2">
        <v>43</v>
      </c>
      <c r="AE117" s="2">
        <v>2.457</v>
      </c>
      <c r="AF117" s="2">
        <v>24</v>
      </c>
      <c r="AG117" s="43">
        <f>AE117*AC117*AF117*0.0036</f>
        <v>15.0722208</v>
      </c>
      <c r="AH117" s="43">
        <f>AE117*AD117*AF117*0.0036</f>
        <v>9.128246399999998</v>
      </c>
      <c r="AI117" s="2">
        <v>30</v>
      </c>
      <c r="AJ117" s="1">
        <v>12</v>
      </c>
      <c r="AK117" s="1">
        <v>0.58</v>
      </c>
      <c r="AL117" s="1">
        <v>0.78</v>
      </c>
      <c r="AM117" s="117">
        <f t="shared" si="3"/>
        <v>3147.07970304</v>
      </c>
      <c r="AN117" s="118">
        <f t="shared" si="4"/>
        <v>2563.2115891199996</v>
      </c>
      <c r="AO117" s="2" t="s">
        <v>2478</v>
      </c>
    </row>
    <row r="118" spans="1:41" ht="12.75">
      <c r="A118" s="1">
        <v>102</v>
      </c>
      <c r="B118" s="1" t="s">
        <v>56</v>
      </c>
      <c r="C118" s="1" t="s">
        <v>4</v>
      </c>
      <c r="D118" s="1">
        <v>4</v>
      </c>
      <c r="E118" s="1" t="s">
        <v>1004</v>
      </c>
      <c r="F118" s="22" t="s">
        <v>1006</v>
      </c>
      <c r="G118" s="21" t="s">
        <v>2454</v>
      </c>
      <c r="H118" s="1" t="s">
        <v>4166</v>
      </c>
      <c r="I118" s="1" t="s">
        <v>4127</v>
      </c>
      <c r="J118" s="63">
        <v>29104391</v>
      </c>
      <c r="K118" s="1" t="s">
        <v>2438</v>
      </c>
      <c r="L118" s="1">
        <v>3447000</v>
      </c>
      <c r="M118" s="1" t="s">
        <v>3735</v>
      </c>
      <c r="N118" s="1" t="s">
        <v>4181</v>
      </c>
      <c r="O118" s="1">
        <v>3428</v>
      </c>
      <c r="P118" s="64">
        <v>43073</v>
      </c>
      <c r="Q118" s="64">
        <v>46724</v>
      </c>
      <c r="R118" s="62" t="s">
        <v>2440</v>
      </c>
      <c r="S118" s="22" t="s">
        <v>2442</v>
      </c>
      <c r="T118" s="9" t="s">
        <v>2443</v>
      </c>
      <c r="U118" s="22" t="s">
        <v>2813</v>
      </c>
      <c r="V118" s="22" t="s">
        <v>2814</v>
      </c>
      <c r="W118" s="22">
        <v>2558</v>
      </c>
      <c r="X118" s="60">
        <v>114005.66</v>
      </c>
      <c r="Y118" s="60">
        <v>102022.62</v>
      </c>
      <c r="Z118" s="2" t="s">
        <v>3741</v>
      </c>
      <c r="AA118" s="46"/>
      <c r="AB118" s="46"/>
      <c r="AC118" s="46"/>
      <c r="AD118" s="46"/>
      <c r="AE118" s="46"/>
      <c r="AF118" s="46"/>
      <c r="AG118" s="43"/>
      <c r="AH118" s="43"/>
      <c r="AI118" s="2"/>
      <c r="AJ118" s="1"/>
      <c r="AK118" s="46"/>
      <c r="AL118" s="46"/>
      <c r="AM118" s="44">
        <f t="shared" si="3"/>
        <v>0</v>
      </c>
      <c r="AN118" s="45">
        <f t="shared" si="4"/>
        <v>0</v>
      </c>
      <c r="AO118" s="46"/>
    </row>
    <row r="119" spans="1:41" ht="12.75">
      <c r="A119" s="1">
        <v>103</v>
      </c>
      <c r="B119" s="1" t="s">
        <v>56</v>
      </c>
      <c r="C119" s="1" t="s">
        <v>4</v>
      </c>
      <c r="D119" s="1">
        <v>4</v>
      </c>
      <c r="E119" s="1" t="s">
        <v>1005</v>
      </c>
      <c r="F119" s="22" t="s">
        <v>1007</v>
      </c>
      <c r="G119" s="21" t="s">
        <v>2454</v>
      </c>
      <c r="H119" s="1" t="s">
        <v>4166</v>
      </c>
      <c r="I119" s="1" t="s">
        <v>4127</v>
      </c>
      <c r="J119" s="63">
        <v>29104391</v>
      </c>
      <c r="K119" s="1" t="s">
        <v>2438</v>
      </c>
      <c r="L119" s="1">
        <v>3447000</v>
      </c>
      <c r="M119" s="1" t="s">
        <v>3735</v>
      </c>
      <c r="N119" s="1" t="s">
        <v>4181</v>
      </c>
      <c r="O119" s="1">
        <v>3428</v>
      </c>
      <c r="P119" s="64">
        <v>43073</v>
      </c>
      <c r="Q119" s="64">
        <v>46724</v>
      </c>
      <c r="R119" s="62" t="s">
        <v>2440</v>
      </c>
      <c r="S119" s="29" t="s">
        <v>2441</v>
      </c>
      <c r="T119" s="9" t="s">
        <v>2443</v>
      </c>
      <c r="U119" s="22" t="s">
        <v>1008</v>
      </c>
      <c r="V119" s="22" t="s">
        <v>2815</v>
      </c>
      <c r="W119" s="22">
        <v>2557</v>
      </c>
      <c r="X119" s="60">
        <v>113811.47</v>
      </c>
      <c r="Y119" s="60">
        <v>101897.46</v>
      </c>
      <c r="Z119" s="2" t="s">
        <v>3741</v>
      </c>
      <c r="AA119" s="46"/>
      <c r="AB119" s="46"/>
      <c r="AC119" s="46"/>
      <c r="AD119" s="46"/>
      <c r="AE119" s="46"/>
      <c r="AF119" s="46"/>
      <c r="AG119" s="43"/>
      <c r="AH119" s="43"/>
      <c r="AI119" s="2"/>
      <c r="AJ119" s="1"/>
      <c r="AK119" s="46"/>
      <c r="AL119" s="46"/>
      <c r="AM119" s="44">
        <f t="shared" si="3"/>
        <v>0</v>
      </c>
      <c r="AN119" s="45">
        <f t="shared" si="4"/>
        <v>0</v>
      </c>
      <c r="AO119" s="46"/>
    </row>
    <row r="120" spans="1:41" ht="42.75" customHeight="1">
      <c r="A120" s="1">
        <v>104</v>
      </c>
      <c r="B120" s="1" t="s">
        <v>56</v>
      </c>
      <c r="C120" s="1" t="s">
        <v>4</v>
      </c>
      <c r="D120" s="1">
        <v>4</v>
      </c>
      <c r="E120" s="1" t="s">
        <v>428</v>
      </c>
      <c r="F120" s="1" t="s">
        <v>1007</v>
      </c>
      <c r="G120" s="21" t="s">
        <v>2454</v>
      </c>
      <c r="H120" s="1" t="s">
        <v>4166</v>
      </c>
      <c r="I120" s="1" t="s">
        <v>4127</v>
      </c>
      <c r="J120" s="63">
        <v>29104391</v>
      </c>
      <c r="K120" s="1" t="s">
        <v>2438</v>
      </c>
      <c r="L120" s="1">
        <v>3447000</v>
      </c>
      <c r="M120" s="1" t="s">
        <v>3735</v>
      </c>
      <c r="N120" s="1" t="s">
        <v>4181</v>
      </c>
      <c r="O120" s="1">
        <v>3428</v>
      </c>
      <c r="P120" s="64">
        <v>43073</v>
      </c>
      <c r="Q120" s="64">
        <v>46724</v>
      </c>
      <c r="R120" s="62" t="s">
        <v>2440</v>
      </c>
      <c r="S120" s="22" t="s">
        <v>2442</v>
      </c>
      <c r="T120" s="9" t="s">
        <v>2443</v>
      </c>
      <c r="U120" s="22" t="s">
        <v>1009</v>
      </c>
      <c r="V120" s="22" t="s">
        <v>2816</v>
      </c>
      <c r="W120" s="22">
        <v>2558</v>
      </c>
      <c r="X120" s="60">
        <v>113803.94</v>
      </c>
      <c r="Y120" s="60">
        <v>101910.96</v>
      </c>
      <c r="Z120" s="2" t="s">
        <v>3753</v>
      </c>
      <c r="AA120" s="67">
        <v>43788</v>
      </c>
      <c r="AB120" s="2" t="s">
        <v>2496</v>
      </c>
      <c r="AC120" s="2">
        <v>130</v>
      </c>
      <c r="AD120" s="2">
        <v>39</v>
      </c>
      <c r="AE120" s="2">
        <v>2.27</v>
      </c>
      <c r="AF120" s="2">
        <v>24</v>
      </c>
      <c r="AG120" s="102">
        <f>AE120*AC120*AF120*0.0036</f>
        <v>25.496640000000003</v>
      </c>
      <c r="AH120" s="102">
        <f>AE120*AD120*AF120*0.0036</f>
        <v>7.648992000000001</v>
      </c>
      <c r="AI120" s="2">
        <v>30</v>
      </c>
      <c r="AJ120" s="1">
        <v>12</v>
      </c>
      <c r="AK120" s="1">
        <v>0.6</v>
      </c>
      <c r="AL120" s="1">
        <v>0.68</v>
      </c>
      <c r="AM120" s="117">
        <f>AG120*AI120*AJ120*AK120</f>
        <v>5507.274240000001</v>
      </c>
      <c r="AN120" s="118">
        <f>AH120*AI120*AJ120*AL120</f>
        <v>1872.4732416000004</v>
      </c>
      <c r="AO120" s="2" t="s">
        <v>2478</v>
      </c>
    </row>
    <row r="121" spans="1:41" ht="12.75">
      <c r="A121" s="1">
        <v>105</v>
      </c>
      <c r="B121" s="1" t="s">
        <v>56</v>
      </c>
      <c r="C121" s="1" t="s">
        <v>4</v>
      </c>
      <c r="D121" s="1">
        <v>4</v>
      </c>
      <c r="E121" s="1" t="s">
        <v>1010</v>
      </c>
      <c r="F121" s="22" t="s">
        <v>1016</v>
      </c>
      <c r="G121" s="21" t="s">
        <v>2454</v>
      </c>
      <c r="H121" s="1" t="s">
        <v>4166</v>
      </c>
      <c r="I121" s="1" t="s">
        <v>4127</v>
      </c>
      <c r="J121" s="63">
        <v>29104391</v>
      </c>
      <c r="K121" s="1" t="s">
        <v>2438</v>
      </c>
      <c r="L121" s="1">
        <v>3447000</v>
      </c>
      <c r="M121" s="1" t="s">
        <v>3735</v>
      </c>
      <c r="N121" s="1" t="s">
        <v>4181</v>
      </c>
      <c r="O121" s="1">
        <v>3428</v>
      </c>
      <c r="P121" s="64">
        <v>43073</v>
      </c>
      <c r="Q121" s="64">
        <v>46724</v>
      </c>
      <c r="R121" s="62" t="s">
        <v>2440</v>
      </c>
      <c r="S121" s="29" t="s">
        <v>2441</v>
      </c>
      <c r="T121" s="9" t="s">
        <v>2443</v>
      </c>
      <c r="U121" s="22" t="s">
        <v>2817</v>
      </c>
      <c r="V121" s="22" t="s">
        <v>2818</v>
      </c>
      <c r="W121" s="22">
        <v>2552</v>
      </c>
      <c r="X121" s="60">
        <v>113666.38</v>
      </c>
      <c r="Y121" s="60">
        <v>101817.64</v>
      </c>
      <c r="Z121" s="2" t="s">
        <v>3741</v>
      </c>
      <c r="AA121" s="46"/>
      <c r="AB121" s="46"/>
      <c r="AC121" s="46"/>
      <c r="AD121" s="46"/>
      <c r="AE121" s="46"/>
      <c r="AF121" s="46"/>
      <c r="AG121" s="43"/>
      <c r="AH121" s="43"/>
      <c r="AI121" s="2"/>
      <c r="AJ121" s="1"/>
      <c r="AK121" s="46"/>
      <c r="AL121" s="46"/>
      <c r="AM121" s="44">
        <f t="shared" si="3"/>
        <v>0</v>
      </c>
      <c r="AN121" s="45">
        <f t="shared" si="4"/>
        <v>0</v>
      </c>
      <c r="AO121" s="46"/>
    </row>
    <row r="122" spans="1:41" ht="12.75">
      <c r="A122" s="1">
        <v>106</v>
      </c>
      <c r="B122" s="1" t="s">
        <v>56</v>
      </c>
      <c r="C122" s="1" t="s">
        <v>4</v>
      </c>
      <c r="D122" s="1">
        <v>4</v>
      </c>
      <c r="E122" s="1" t="s">
        <v>1011</v>
      </c>
      <c r="F122" s="22" t="s">
        <v>1017</v>
      </c>
      <c r="G122" s="21" t="s">
        <v>2454</v>
      </c>
      <c r="H122" s="1" t="s">
        <v>4166</v>
      </c>
      <c r="I122" s="1" t="s">
        <v>4127</v>
      </c>
      <c r="J122" s="63">
        <v>29104391</v>
      </c>
      <c r="K122" s="1" t="s">
        <v>2438</v>
      </c>
      <c r="L122" s="1">
        <v>3447000</v>
      </c>
      <c r="M122" s="1" t="s">
        <v>3735</v>
      </c>
      <c r="N122" s="1" t="s">
        <v>4181</v>
      </c>
      <c r="O122" s="1">
        <v>3428</v>
      </c>
      <c r="P122" s="64">
        <v>43073</v>
      </c>
      <c r="Q122" s="64">
        <v>46724</v>
      </c>
      <c r="R122" s="62" t="s">
        <v>2440</v>
      </c>
      <c r="S122" s="22" t="s">
        <v>2442</v>
      </c>
      <c r="T122" s="9" t="s">
        <v>2443</v>
      </c>
      <c r="U122" s="22" t="s">
        <v>2819</v>
      </c>
      <c r="V122" s="22" t="s">
        <v>2820</v>
      </c>
      <c r="W122" s="22">
        <v>2553</v>
      </c>
      <c r="X122" s="60">
        <v>113653.78</v>
      </c>
      <c r="Y122" s="60">
        <v>101821.65</v>
      </c>
      <c r="Z122" s="2" t="s">
        <v>3741</v>
      </c>
      <c r="AA122" s="46"/>
      <c r="AB122" s="46"/>
      <c r="AC122" s="46"/>
      <c r="AD122" s="46"/>
      <c r="AE122" s="46"/>
      <c r="AF122" s="46"/>
      <c r="AG122" s="43"/>
      <c r="AH122" s="43"/>
      <c r="AI122" s="2"/>
      <c r="AJ122" s="1"/>
      <c r="AK122" s="46"/>
      <c r="AL122" s="46"/>
      <c r="AM122" s="44">
        <f t="shared" si="3"/>
        <v>0</v>
      </c>
      <c r="AN122" s="45">
        <f t="shared" si="4"/>
        <v>0</v>
      </c>
      <c r="AO122" s="46"/>
    </row>
    <row r="123" spans="1:41" ht="12.75">
      <c r="A123" s="1">
        <v>107</v>
      </c>
      <c r="B123" s="1" t="s">
        <v>56</v>
      </c>
      <c r="C123" s="1" t="s">
        <v>4</v>
      </c>
      <c r="D123" s="1">
        <v>4</v>
      </c>
      <c r="E123" s="1" t="s">
        <v>1012</v>
      </c>
      <c r="F123" s="22" t="s">
        <v>1018</v>
      </c>
      <c r="G123" s="21" t="s">
        <v>2454</v>
      </c>
      <c r="H123" s="1" t="s">
        <v>4166</v>
      </c>
      <c r="I123" s="1" t="s">
        <v>4127</v>
      </c>
      <c r="J123" s="63">
        <v>29104391</v>
      </c>
      <c r="K123" s="1" t="s">
        <v>2438</v>
      </c>
      <c r="L123" s="1">
        <v>3447000</v>
      </c>
      <c r="M123" s="1" t="s">
        <v>3735</v>
      </c>
      <c r="N123" s="1" t="s">
        <v>4181</v>
      </c>
      <c r="O123" s="1">
        <v>3428</v>
      </c>
      <c r="P123" s="64">
        <v>43073</v>
      </c>
      <c r="Q123" s="64">
        <v>46724</v>
      </c>
      <c r="R123" s="62" t="s">
        <v>2440</v>
      </c>
      <c r="S123" s="29" t="s">
        <v>2441</v>
      </c>
      <c r="T123" s="9" t="s">
        <v>2443</v>
      </c>
      <c r="U123" s="22" t="s">
        <v>1022</v>
      </c>
      <c r="V123" s="22" t="s">
        <v>2821</v>
      </c>
      <c r="W123" s="22">
        <v>2553</v>
      </c>
      <c r="X123" s="60">
        <v>113379.533</v>
      </c>
      <c r="Y123" s="60">
        <v>101730.764</v>
      </c>
      <c r="Z123" s="2" t="s">
        <v>3741</v>
      </c>
      <c r="AA123" s="46"/>
      <c r="AB123" s="46"/>
      <c r="AC123" s="46"/>
      <c r="AD123" s="46"/>
      <c r="AE123" s="46"/>
      <c r="AF123" s="46"/>
      <c r="AG123" s="43"/>
      <c r="AH123" s="43"/>
      <c r="AI123" s="2"/>
      <c r="AJ123" s="1"/>
      <c r="AK123" s="46"/>
      <c r="AL123" s="46"/>
      <c r="AM123" s="44">
        <f t="shared" si="3"/>
        <v>0</v>
      </c>
      <c r="AN123" s="45">
        <f t="shared" si="4"/>
        <v>0</v>
      </c>
      <c r="AO123" s="46"/>
    </row>
    <row r="124" spans="1:41" ht="12.75">
      <c r="A124" s="1">
        <v>108</v>
      </c>
      <c r="B124" s="1" t="s">
        <v>56</v>
      </c>
      <c r="C124" s="1" t="s">
        <v>4</v>
      </c>
      <c r="D124" s="1">
        <v>4</v>
      </c>
      <c r="E124" s="1" t="s">
        <v>1013</v>
      </c>
      <c r="F124" s="22" t="s">
        <v>1019</v>
      </c>
      <c r="G124" s="21" t="s">
        <v>2454</v>
      </c>
      <c r="H124" s="1" t="s">
        <v>4166</v>
      </c>
      <c r="I124" s="1" t="s">
        <v>4127</v>
      </c>
      <c r="J124" s="63">
        <v>29104391</v>
      </c>
      <c r="K124" s="1" t="s">
        <v>2438</v>
      </c>
      <c r="L124" s="1">
        <v>3447000</v>
      </c>
      <c r="M124" s="1" t="s">
        <v>3735</v>
      </c>
      <c r="N124" s="1" t="s">
        <v>4181</v>
      </c>
      <c r="O124" s="1">
        <v>3428</v>
      </c>
      <c r="P124" s="64">
        <v>43073</v>
      </c>
      <c r="Q124" s="64">
        <v>46724</v>
      </c>
      <c r="R124" s="62" t="s">
        <v>2440</v>
      </c>
      <c r="S124" s="22" t="s">
        <v>2442</v>
      </c>
      <c r="T124" s="9" t="s">
        <v>2443</v>
      </c>
      <c r="U124" s="22" t="s">
        <v>1023</v>
      </c>
      <c r="V124" s="22" t="s">
        <v>2822</v>
      </c>
      <c r="W124" s="22">
        <v>2554</v>
      </c>
      <c r="X124" s="60">
        <v>113219.29</v>
      </c>
      <c r="Y124" s="60">
        <v>101707.46</v>
      </c>
      <c r="Z124" s="2" t="s">
        <v>3741</v>
      </c>
      <c r="AA124" s="46"/>
      <c r="AB124" s="46"/>
      <c r="AC124" s="46"/>
      <c r="AD124" s="46"/>
      <c r="AE124" s="46"/>
      <c r="AF124" s="46"/>
      <c r="AG124" s="43"/>
      <c r="AH124" s="43"/>
      <c r="AI124" s="2"/>
      <c r="AJ124" s="1"/>
      <c r="AK124" s="46"/>
      <c r="AL124" s="46"/>
      <c r="AM124" s="44">
        <f t="shared" si="3"/>
        <v>0</v>
      </c>
      <c r="AN124" s="45">
        <f t="shared" si="4"/>
        <v>0</v>
      </c>
      <c r="AO124" s="46"/>
    </row>
    <row r="125" spans="1:41" ht="12.75">
      <c r="A125" s="1">
        <v>109</v>
      </c>
      <c r="B125" s="1" t="s">
        <v>56</v>
      </c>
      <c r="C125" s="1" t="s">
        <v>4</v>
      </c>
      <c r="D125" s="1">
        <v>4</v>
      </c>
      <c r="E125" s="1" t="s">
        <v>1014</v>
      </c>
      <c r="F125" s="22" t="s">
        <v>1020</v>
      </c>
      <c r="G125" s="21" t="s">
        <v>2454</v>
      </c>
      <c r="H125" s="1" t="s">
        <v>4166</v>
      </c>
      <c r="I125" s="1" t="s">
        <v>4127</v>
      </c>
      <c r="J125" s="63">
        <v>29104391</v>
      </c>
      <c r="K125" s="1" t="s">
        <v>2438</v>
      </c>
      <c r="L125" s="1">
        <v>3447000</v>
      </c>
      <c r="M125" s="1" t="s">
        <v>3735</v>
      </c>
      <c r="N125" s="1" t="s">
        <v>4181</v>
      </c>
      <c r="O125" s="1">
        <v>3428</v>
      </c>
      <c r="P125" s="64">
        <v>43073</v>
      </c>
      <c r="Q125" s="64">
        <v>46724</v>
      </c>
      <c r="R125" s="62" t="s">
        <v>2440</v>
      </c>
      <c r="S125" s="22" t="s">
        <v>2442</v>
      </c>
      <c r="T125" s="9" t="s">
        <v>2443</v>
      </c>
      <c r="U125" s="22" t="s">
        <v>1024</v>
      </c>
      <c r="V125" s="22" t="s">
        <v>2823</v>
      </c>
      <c r="W125" s="22">
        <v>2553</v>
      </c>
      <c r="X125" s="60">
        <v>112964.51</v>
      </c>
      <c r="Y125" s="60">
        <v>101459.41</v>
      </c>
      <c r="Z125" s="2" t="s">
        <v>3741</v>
      </c>
      <c r="AA125" s="46"/>
      <c r="AB125" s="46"/>
      <c r="AC125" s="46"/>
      <c r="AD125" s="46"/>
      <c r="AE125" s="46"/>
      <c r="AF125" s="46"/>
      <c r="AG125" s="43"/>
      <c r="AH125" s="43"/>
      <c r="AI125" s="2"/>
      <c r="AJ125" s="1"/>
      <c r="AK125" s="46"/>
      <c r="AL125" s="46"/>
      <c r="AM125" s="44">
        <f t="shared" si="3"/>
        <v>0</v>
      </c>
      <c r="AN125" s="45">
        <f t="shared" si="4"/>
        <v>0</v>
      </c>
      <c r="AO125" s="46"/>
    </row>
    <row r="126" spans="1:41" ht="12.75">
      <c r="A126" s="1">
        <v>110</v>
      </c>
      <c r="B126" s="1" t="s">
        <v>56</v>
      </c>
      <c r="C126" s="1" t="s">
        <v>4</v>
      </c>
      <c r="D126" s="1">
        <v>4</v>
      </c>
      <c r="E126" s="1" t="s">
        <v>1015</v>
      </c>
      <c r="F126" s="22" t="s">
        <v>1021</v>
      </c>
      <c r="G126" s="21" t="s">
        <v>2454</v>
      </c>
      <c r="H126" s="1" t="s">
        <v>4166</v>
      </c>
      <c r="I126" s="1" t="s">
        <v>4127</v>
      </c>
      <c r="J126" s="63">
        <v>29104391</v>
      </c>
      <c r="K126" s="1" t="s">
        <v>2438</v>
      </c>
      <c r="L126" s="1">
        <v>3447000</v>
      </c>
      <c r="M126" s="1" t="s">
        <v>3735</v>
      </c>
      <c r="N126" s="1" t="s">
        <v>4181</v>
      </c>
      <c r="O126" s="1">
        <v>3428</v>
      </c>
      <c r="P126" s="64">
        <v>43073</v>
      </c>
      <c r="Q126" s="64">
        <v>46724</v>
      </c>
      <c r="R126" s="62" t="s">
        <v>2440</v>
      </c>
      <c r="S126" s="30" t="s">
        <v>2436</v>
      </c>
      <c r="T126" s="9" t="s">
        <v>2443</v>
      </c>
      <c r="U126" s="22" t="s">
        <v>2824</v>
      </c>
      <c r="V126" s="22" t="s">
        <v>2825</v>
      </c>
      <c r="W126" s="22">
        <v>2554</v>
      </c>
      <c r="X126" s="60">
        <v>112855.077</v>
      </c>
      <c r="Y126" s="60">
        <v>101403.074</v>
      </c>
      <c r="Z126" s="2" t="s">
        <v>3741</v>
      </c>
      <c r="AA126" s="46"/>
      <c r="AB126" s="46"/>
      <c r="AC126" s="46"/>
      <c r="AD126" s="46"/>
      <c r="AE126" s="46"/>
      <c r="AF126" s="46"/>
      <c r="AG126" s="43"/>
      <c r="AH126" s="43"/>
      <c r="AI126" s="2"/>
      <c r="AJ126" s="1"/>
      <c r="AK126" s="46"/>
      <c r="AL126" s="46"/>
      <c r="AM126" s="44">
        <f t="shared" si="3"/>
        <v>0</v>
      </c>
      <c r="AN126" s="45">
        <f t="shared" si="4"/>
        <v>0</v>
      </c>
      <c r="AO126" s="46"/>
    </row>
    <row r="127" spans="1:41" ht="12.75">
      <c r="A127" s="215" t="s">
        <v>2414</v>
      </c>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119">
        <f>AM94+AM102+AM105+AM115+AM117+AM120</f>
        <v>18373.813137792</v>
      </c>
      <c r="AN127" s="119">
        <f>AN94+AN102+AN105+AN115+AN117+AN120</f>
        <v>9127.58423472</v>
      </c>
      <c r="AO127" s="46"/>
    </row>
    <row r="128" spans="1:43" ht="12.75">
      <c r="A128" s="213" t="s">
        <v>2415</v>
      </c>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73">
        <f>SUM(AM84:AM126)-AM106-AM107</f>
        <v>66139.20417698564</v>
      </c>
      <c r="AN128" s="73">
        <f>SUM(AN84:AN126)-AN106-AN107</f>
        <v>61934.513357433476</v>
      </c>
      <c r="AO128" s="46"/>
      <c r="AP128" s="97"/>
      <c r="AQ128" s="97"/>
    </row>
    <row r="129" spans="1:41" ht="74.25" customHeight="1">
      <c r="A129" s="1">
        <v>111</v>
      </c>
      <c r="B129" s="1" t="s">
        <v>53</v>
      </c>
      <c r="C129" s="1" t="s">
        <v>4</v>
      </c>
      <c r="D129" s="1">
        <v>4</v>
      </c>
      <c r="E129" s="1" t="s">
        <v>443</v>
      </c>
      <c r="F129" s="1" t="s">
        <v>2047</v>
      </c>
      <c r="G129" s="22" t="s">
        <v>2437</v>
      </c>
      <c r="H129" s="1" t="s">
        <v>4166</v>
      </c>
      <c r="I129" s="1" t="s">
        <v>4127</v>
      </c>
      <c r="J129" s="63">
        <v>29104391</v>
      </c>
      <c r="K129" s="1" t="s">
        <v>2438</v>
      </c>
      <c r="L129" s="1">
        <v>3447000</v>
      </c>
      <c r="M129" s="1" t="s">
        <v>3735</v>
      </c>
      <c r="N129" s="1" t="s">
        <v>4181</v>
      </c>
      <c r="O129" s="1">
        <v>3428</v>
      </c>
      <c r="P129" s="64">
        <v>43073</v>
      </c>
      <c r="Q129" s="64">
        <v>46724</v>
      </c>
      <c r="R129" s="62" t="s">
        <v>2440</v>
      </c>
      <c r="S129" s="22" t="s">
        <v>2442</v>
      </c>
      <c r="T129" s="9" t="s">
        <v>2443</v>
      </c>
      <c r="U129" s="29" t="s">
        <v>445</v>
      </c>
      <c r="V129" s="29" t="s">
        <v>2826</v>
      </c>
      <c r="W129" s="29">
        <v>2557</v>
      </c>
      <c r="X129" s="60">
        <v>115011.73</v>
      </c>
      <c r="Y129" s="60">
        <v>104135.56</v>
      </c>
      <c r="Z129" s="2" t="s">
        <v>4035</v>
      </c>
      <c r="AA129" s="67">
        <v>43788</v>
      </c>
      <c r="AB129" s="50">
        <v>0.40277777777777773</v>
      </c>
      <c r="AC129" s="2"/>
      <c r="AD129" s="2"/>
      <c r="AE129" s="2"/>
      <c r="AF129" s="2"/>
      <c r="AG129" s="43"/>
      <c r="AH129" s="43"/>
      <c r="AI129" s="2"/>
      <c r="AJ129" s="1"/>
      <c r="AK129" s="1"/>
      <c r="AL129" s="1"/>
      <c r="AM129" s="117">
        <v>8287.711776599355</v>
      </c>
      <c r="AN129" s="118">
        <v>4142.20159091231</v>
      </c>
      <c r="AO129" s="46"/>
    </row>
    <row r="130" spans="1:41" ht="73.5" customHeight="1">
      <c r="A130" s="1">
        <v>112</v>
      </c>
      <c r="B130" s="1" t="s">
        <v>53</v>
      </c>
      <c r="C130" s="1" t="s">
        <v>4</v>
      </c>
      <c r="D130" s="1">
        <v>4</v>
      </c>
      <c r="E130" s="1" t="s">
        <v>442</v>
      </c>
      <c r="F130" s="1" t="s">
        <v>2047</v>
      </c>
      <c r="G130" s="22" t="s">
        <v>2437</v>
      </c>
      <c r="H130" s="1" t="s">
        <v>4166</v>
      </c>
      <c r="I130" s="1" t="s">
        <v>4127</v>
      </c>
      <c r="J130" s="63">
        <v>29104391</v>
      </c>
      <c r="K130" s="1" t="s">
        <v>2438</v>
      </c>
      <c r="L130" s="1">
        <v>3447000</v>
      </c>
      <c r="M130" s="1" t="s">
        <v>3735</v>
      </c>
      <c r="N130" s="1" t="s">
        <v>4181</v>
      </c>
      <c r="O130" s="1">
        <v>3428</v>
      </c>
      <c r="P130" s="64">
        <v>43073</v>
      </c>
      <c r="Q130" s="64">
        <v>46724</v>
      </c>
      <c r="R130" s="62" t="s">
        <v>2440</v>
      </c>
      <c r="S130" s="29" t="s">
        <v>2441</v>
      </c>
      <c r="T130" s="9" t="s">
        <v>2443</v>
      </c>
      <c r="U130" s="29" t="s">
        <v>444</v>
      </c>
      <c r="V130" s="29" t="s">
        <v>2827</v>
      </c>
      <c r="W130" s="29">
        <v>2557</v>
      </c>
      <c r="X130" s="60">
        <v>115012.96</v>
      </c>
      <c r="Y130" s="60">
        <v>104135.87</v>
      </c>
      <c r="Z130" s="2" t="s">
        <v>4049</v>
      </c>
      <c r="AA130" s="67">
        <v>43727</v>
      </c>
      <c r="AB130" s="13" t="s">
        <v>2476</v>
      </c>
      <c r="AC130" s="79">
        <v>205</v>
      </c>
      <c r="AD130" s="79">
        <v>100</v>
      </c>
      <c r="AE130" s="49">
        <v>0.79</v>
      </c>
      <c r="AF130" s="2">
        <v>24</v>
      </c>
      <c r="AG130" s="102">
        <f>AE130*AC130*AF130*0.0036</f>
        <v>13.99248</v>
      </c>
      <c r="AH130" s="102">
        <f>AE130*AD130*AF130*0.0036</f>
        <v>6.8256</v>
      </c>
      <c r="AI130" s="2">
        <v>30</v>
      </c>
      <c r="AJ130" s="1">
        <v>12</v>
      </c>
      <c r="AK130" s="1">
        <v>0.5</v>
      </c>
      <c r="AL130" s="1">
        <v>0.57</v>
      </c>
      <c r="AM130" s="117">
        <f>AG130*AI130*AJ130*AK130</f>
        <v>2518.6464</v>
      </c>
      <c r="AN130" s="118">
        <f>AH130*AI130*AJ130*AL130</f>
        <v>1400.6131199999998</v>
      </c>
      <c r="AO130" s="2" t="s">
        <v>2413</v>
      </c>
    </row>
    <row r="131" spans="1:41" ht="12.75">
      <c r="A131" s="1">
        <v>113</v>
      </c>
      <c r="B131" s="1" t="s">
        <v>53</v>
      </c>
      <c r="C131" s="1" t="s">
        <v>4</v>
      </c>
      <c r="D131" s="1">
        <v>4</v>
      </c>
      <c r="E131" s="4" t="s">
        <v>446</v>
      </c>
      <c r="F131" s="2" t="s">
        <v>447</v>
      </c>
      <c r="G131" s="22" t="s">
        <v>2437</v>
      </c>
      <c r="H131" s="1" t="s">
        <v>4166</v>
      </c>
      <c r="I131" s="1" t="s">
        <v>4127</v>
      </c>
      <c r="J131" s="63">
        <v>29104391</v>
      </c>
      <c r="K131" s="1" t="s">
        <v>2438</v>
      </c>
      <c r="L131" s="1">
        <v>3447000</v>
      </c>
      <c r="M131" s="1" t="s">
        <v>3735</v>
      </c>
      <c r="N131" s="1" t="s">
        <v>4181</v>
      </c>
      <c r="O131" s="1">
        <v>3428</v>
      </c>
      <c r="P131" s="64">
        <v>43073</v>
      </c>
      <c r="Q131" s="64">
        <v>46724</v>
      </c>
      <c r="R131" s="62" t="s">
        <v>2440</v>
      </c>
      <c r="S131" s="29" t="s">
        <v>2441</v>
      </c>
      <c r="T131" s="9" t="s">
        <v>2443</v>
      </c>
      <c r="U131" s="34" t="s">
        <v>448</v>
      </c>
      <c r="V131" s="29" t="s">
        <v>2828</v>
      </c>
      <c r="W131" s="29">
        <v>2558</v>
      </c>
      <c r="X131" s="60">
        <v>114934.31</v>
      </c>
      <c r="Y131" s="60">
        <v>104102.82</v>
      </c>
      <c r="Z131" s="2" t="s">
        <v>3741</v>
      </c>
      <c r="AA131" s="46"/>
      <c r="AB131" s="46"/>
      <c r="AC131" s="46"/>
      <c r="AD131" s="46"/>
      <c r="AE131" s="46"/>
      <c r="AF131" s="46"/>
      <c r="AG131" s="43"/>
      <c r="AH131" s="43"/>
      <c r="AI131" s="2"/>
      <c r="AJ131" s="1"/>
      <c r="AK131" s="46"/>
      <c r="AL131" s="46"/>
      <c r="AM131" s="44">
        <f t="shared" si="3"/>
        <v>0</v>
      </c>
      <c r="AN131" s="45">
        <f t="shared" si="4"/>
        <v>0</v>
      </c>
      <c r="AO131" s="46"/>
    </row>
    <row r="132" spans="1:41" ht="12.75">
      <c r="A132" s="1">
        <v>114</v>
      </c>
      <c r="B132" s="1" t="s">
        <v>53</v>
      </c>
      <c r="C132" s="1" t="s">
        <v>4</v>
      </c>
      <c r="D132" s="1">
        <v>4</v>
      </c>
      <c r="E132" s="4" t="s">
        <v>449</v>
      </c>
      <c r="F132" s="2" t="s">
        <v>450</v>
      </c>
      <c r="G132" s="22" t="s">
        <v>2437</v>
      </c>
      <c r="H132" s="1" t="s">
        <v>4166</v>
      </c>
      <c r="I132" s="1" t="s">
        <v>4127</v>
      </c>
      <c r="J132" s="63">
        <v>29104391</v>
      </c>
      <c r="K132" s="1" t="s">
        <v>2438</v>
      </c>
      <c r="L132" s="1">
        <v>3447000</v>
      </c>
      <c r="M132" s="1" t="s">
        <v>3735</v>
      </c>
      <c r="N132" s="1" t="s">
        <v>4181</v>
      </c>
      <c r="O132" s="1">
        <v>3428</v>
      </c>
      <c r="P132" s="64">
        <v>43073</v>
      </c>
      <c r="Q132" s="64">
        <v>46724</v>
      </c>
      <c r="R132" s="62" t="s">
        <v>2440</v>
      </c>
      <c r="S132" s="29" t="s">
        <v>2441</v>
      </c>
      <c r="T132" s="9" t="s">
        <v>2443</v>
      </c>
      <c r="U132" s="34" t="s">
        <v>451</v>
      </c>
      <c r="V132" s="29" t="s">
        <v>2829</v>
      </c>
      <c r="W132" s="29">
        <v>2560</v>
      </c>
      <c r="X132" s="60">
        <v>114824.57</v>
      </c>
      <c r="Y132" s="60">
        <v>104068.07</v>
      </c>
      <c r="Z132" s="2" t="s">
        <v>3741</v>
      </c>
      <c r="AA132" s="46"/>
      <c r="AB132" s="46"/>
      <c r="AC132" s="46"/>
      <c r="AD132" s="46"/>
      <c r="AE132" s="46"/>
      <c r="AF132" s="46"/>
      <c r="AG132" s="43"/>
      <c r="AH132" s="43"/>
      <c r="AI132" s="2"/>
      <c r="AJ132" s="1"/>
      <c r="AK132" s="46"/>
      <c r="AL132" s="46"/>
      <c r="AM132" s="44">
        <f t="shared" si="3"/>
        <v>0</v>
      </c>
      <c r="AN132" s="45">
        <f t="shared" si="4"/>
        <v>0</v>
      </c>
      <c r="AO132" s="46"/>
    </row>
    <row r="133" spans="1:41" ht="35.25" customHeight="1">
      <c r="A133" s="1">
        <v>115</v>
      </c>
      <c r="B133" s="1" t="s">
        <v>53</v>
      </c>
      <c r="C133" s="1" t="s">
        <v>4</v>
      </c>
      <c r="D133" s="1">
        <v>4</v>
      </c>
      <c r="E133" s="1" t="s">
        <v>454</v>
      </c>
      <c r="F133" s="19" t="s">
        <v>2048</v>
      </c>
      <c r="G133" s="22" t="s">
        <v>2437</v>
      </c>
      <c r="H133" s="1" t="s">
        <v>4166</v>
      </c>
      <c r="I133" s="1" t="s">
        <v>4127</v>
      </c>
      <c r="J133" s="63">
        <v>29104391</v>
      </c>
      <c r="K133" s="1" t="s">
        <v>2438</v>
      </c>
      <c r="L133" s="1">
        <v>3447000</v>
      </c>
      <c r="M133" s="1" t="s">
        <v>3735</v>
      </c>
      <c r="N133" s="1" t="s">
        <v>4181</v>
      </c>
      <c r="O133" s="1">
        <v>3428</v>
      </c>
      <c r="P133" s="64">
        <v>43073</v>
      </c>
      <c r="Q133" s="64">
        <v>46724</v>
      </c>
      <c r="R133" s="62" t="s">
        <v>2440</v>
      </c>
      <c r="S133" s="29" t="s">
        <v>2441</v>
      </c>
      <c r="T133" s="9" t="s">
        <v>2443</v>
      </c>
      <c r="U133" s="29" t="s">
        <v>455</v>
      </c>
      <c r="V133" s="29" t="s">
        <v>2830</v>
      </c>
      <c r="W133" s="29">
        <v>2561</v>
      </c>
      <c r="X133" s="60">
        <v>114703.93</v>
      </c>
      <c r="Y133" s="60">
        <v>104031.14</v>
      </c>
      <c r="Z133" s="2" t="s">
        <v>3765</v>
      </c>
      <c r="AA133" s="67">
        <v>43787</v>
      </c>
      <c r="AB133" s="13" t="s">
        <v>2412</v>
      </c>
      <c r="AC133" s="79">
        <v>7</v>
      </c>
      <c r="AD133" s="79">
        <v>5</v>
      </c>
      <c r="AE133" s="49">
        <v>0.495</v>
      </c>
      <c r="AF133" s="2">
        <v>24</v>
      </c>
      <c r="AG133" s="102">
        <f>AE133*AC133*AF133*0.0036</f>
        <v>0.299376</v>
      </c>
      <c r="AH133" s="102">
        <f>AE133*AD133*AF133*0.0036</f>
        <v>0.21384</v>
      </c>
      <c r="AI133" s="2">
        <v>30</v>
      </c>
      <c r="AJ133" s="1">
        <v>12</v>
      </c>
      <c r="AK133" s="1">
        <v>0.55</v>
      </c>
      <c r="AL133" s="1">
        <v>0.59</v>
      </c>
      <c r="AM133" s="117">
        <f>AG133*AI133*AJ133*AK133</f>
        <v>59.27644800000001</v>
      </c>
      <c r="AN133" s="118">
        <f>AH133*AI133*AJ133*AL133</f>
        <v>45.419616000000005</v>
      </c>
      <c r="AO133" s="2" t="s">
        <v>2413</v>
      </c>
    </row>
    <row r="134" spans="1:41" ht="36.75" customHeight="1">
      <c r="A134" s="1">
        <v>116</v>
      </c>
      <c r="B134" s="1" t="s">
        <v>53</v>
      </c>
      <c r="C134" s="1" t="s">
        <v>4</v>
      </c>
      <c r="D134" s="1">
        <v>4</v>
      </c>
      <c r="E134" s="1" t="s">
        <v>452</v>
      </c>
      <c r="F134" s="1" t="s">
        <v>2049</v>
      </c>
      <c r="G134" s="22" t="s">
        <v>2437</v>
      </c>
      <c r="H134" s="1" t="s">
        <v>4166</v>
      </c>
      <c r="I134" s="1" t="s">
        <v>4127</v>
      </c>
      <c r="J134" s="63">
        <v>29104391</v>
      </c>
      <c r="K134" s="1" t="s">
        <v>2438</v>
      </c>
      <c r="L134" s="1">
        <v>3447000</v>
      </c>
      <c r="M134" s="1" t="s">
        <v>3735</v>
      </c>
      <c r="N134" s="1" t="s">
        <v>4181</v>
      </c>
      <c r="O134" s="1">
        <v>3428</v>
      </c>
      <c r="P134" s="64">
        <v>43073</v>
      </c>
      <c r="Q134" s="64">
        <v>46724</v>
      </c>
      <c r="R134" s="62" t="s">
        <v>2440</v>
      </c>
      <c r="S134" s="22" t="s">
        <v>2442</v>
      </c>
      <c r="T134" s="9" t="s">
        <v>2443</v>
      </c>
      <c r="U134" s="29" t="s">
        <v>453</v>
      </c>
      <c r="V134" s="29" t="s">
        <v>2831</v>
      </c>
      <c r="W134" s="29">
        <v>2561</v>
      </c>
      <c r="X134" s="60">
        <v>114704.31</v>
      </c>
      <c r="Y134" s="60">
        <v>104038.93</v>
      </c>
      <c r="Z134" s="2" t="s">
        <v>3765</v>
      </c>
      <c r="AA134" s="67">
        <v>43787</v>
      </c>
      <c r="AB134" s="13" t="s">
        <v>2411</v>
      </c>
      <c r="AC134" s="79">
        <v>10</v>
      </c>
      <c r="AD134" s="79">
        <v>7</v>
      </c>
      <c r="AE134" s="49">
        <v>2.85</v>
      </c>
      <c r="AF134" s="2">
        <v>24</v>
      </c>
      <c r="AG134" s="102">
        <f>AE134*AC134*AF134*0.0036</f>
        <v>2.4624</v>
      </c>
      <c r="AH134" s="102">
        <f>AE134*AD134*AF134*0.0036</f>
        <v>1.7236799999999999</v>
      </c>
      <c r="AI134" s="2">
        <v>30</v>
      </c>
      <c r="AJ134" s="1">
        <v>12</v>
      </c>
      <c r="AK134" s="1">
        <v>0.51</v>
      </c>
      <c r="AL134" s="1">
        <v>0.58</v>
      </c>
      <c r="AM134" s="117">
        <f>AG134*AI134*AJ134*AK134</f>
        <v>452.09664</v>
      </c>
      <c r="AN134" s="118">
        <f>AH134*AI134*AJ134*AL134</f>
        <v>359.90438399999994</v>
      </c>
      <c r="AO134" s="2" t="s">
        <v>2413</v>
      </c>
    </row>
    <row r="135" spans="1:41" ht="12.75">
      <c r="A135" s="1">
        <v>117</v>
      </c>
      <c r="B135" s="1" t="s">
        <v>53</v>
      </c>
      <c r="C135" s="1" t="s">
        <v>4</v>
      </c>
      <c r="D135" s="1">
        <v>4</v>
      </c>
      <c r="E135" s="4" t="s">
        <v>456</v>
      </c>
      <c r="F135" s="2" t="s">
        <v>457</v>
      </c>
      <c r="G135" s="22" t="s">
        <v>2437</v>
      </c>
      <c r="H135" s="1" t="s">
        <v>4166</v>
      </c>
      <c r="I135" s="1" t="s">
        <v>4127</v>
      </c>
      <c r="J135" s="63">
        <v>29104391</v>
      </c>
      <c r="K135" s="1" t="s">
        <v>2438</v>
      </c>
      <c r="L135" s="1">
        <v>3447000</v>
      </c>
      <c r="M135" s="1" t="s">
        <v>3735</v>
      </c>
      <c r="N135" s="1" t="s">
        <v>4181</v>
      </c>
      <c r="O135" s="1">
        <v>3428</v>
      </c>
      <c r="P135" s="64">
        <v>43073</v>
      </c>
      <c r="Q135" s="64">
        <v>46724</v>
      </c>
      <c r="R135" s="62" t="s">
        <v>2440</v>
      </c>
      <c r="S135" s="29" t="s">
        <v>2441</v>
      </c>
      <c r="T135" s="9" t="s">
        <v>2443</v>
      </c>
      <c r="U135" s="34" t="s">
        <v>458</v>
      </c>
      <c r="V135" s="29" t="s">
        <v>2832</v>
      </c>
      <c r="W135" s="29">
        <v>2559</v>
      </c>
      <c r="X135" s="60">
        <v>114591.64</v>
      </c>
      <c r="Y135" s="60">
        <v>104035.74</v>
      </c>
      <c r="Z135" s="2" t="s">
        <v>3741</v>
      </c>
      <c r="AA135" s="46"/>
      <c r="AB135" s="46"/>
      <c r="AC135" s="46"/>
      <c r="AD135" s="46"/>
      <c r="AE135" s="46"/>
      <c r="AF135" s="46"/>
      <c r="AG135" s="43"/>
      <c r="AH135" s="43"/>
      <c r="AI135" s="2"/>
      <c r="AJ135" s="1"/>
      <c r="AK135" s="46"/>
      <c r="AL135" s="46"/>
      <c r="AM135" s="44">
        <f t="shared" si="3"/>
        <v>0</v>
      </c>
      <c r="AN135" s="45">
        <f t="shared" si="4"/>
        <v>0</v>
      </c>
      <c r="AO135" s="46"/>
    </row>
    <row r="136" spans="1:41" ht="45" customHeight="1">
      <c r="A136" s="1">
        <v>118</v>
      </c>
      <c r="B136" s="1" t="s">
        <v>53</v>
      </c>
      <c r="C136" s="1" t="s">
        <v>4</v>
      </c>
      <c r="D136" s="1">
        <v>4</v>
      </c>
      <c r="E136" s="4" t="s">
        <v>459</v>
      </c>
      <c r="F136" s="2" t="s">
        <v>460</v>
      </c>
      <c r="G136" s="22" t="s">
        <v>2437</v>
      </c>
      <c r="H136" s="1" t="s">
        <v>4166</v>
      </c>
      <c r="I136" s="1" t="s">
        <v>4127</v>
      </c>
      <c r="J136" s="63">
        <v>29104391</v>
      </c>
      <c r="K136" s="1" t="s">
        <v>2438</v>
      </c>
      <c r="L136" s="1">
        <v>3447000</v>
      </c>
      <c r="M136" s="1" t="s">
        <v>3735</v>
      </c>
      <c r="N136" s="1" t="s">
        <v>4181</v>
      </c>
      <c r="O136" s="1">
        <v>3428</v>
      </c>
      <c r="P136" s="64">
        <v>43073</v>
      </c>
      <c r="Q136" s="64">
        <v>46724</v>
      </c>
      <c r="R136" s="62" t="s">
        <v>2440</v>
      </c>
      <c r="S136" s="29" t="s">
        <v>2441</v>
      </c>
      <c r="T136" s="9" t="s">
        <v>2443</v>
      </c>
      <c r="U136" s="34" t="s">
        <v>461</v>
      </c>
      <c r="V136" s="29" t="s">
        <v>2833</v>
      </c>
      <c r="W136" s="29">
        <v>2559</v>
      </c>
      <c r="X136" s="60">
        <v>114500.06</v>
      </c>
      <c r="Y136" s="60">
        <v>104031.74</v>
      </c>
      <c r="Z136" s="2" t="s">
        <v>4050</v>
      </c>
      <c r="AA136" s="67">
        <v>43727</v>
      </c>
      <c r="AB136" s="13" t="s">
        <v>3786</v>
      </c>
      <c r="AC136" s="13">
        <v>360</v>
      </c>
      <c r="AD136" s="13">
        <v>587</v>
      </c>
      <c r="AE136" s="13">
        <v>25.09</v>
      </c>
      <c r="AF136" s="2">
        <v>24</v>
      </c>
      <c r="AG136" s="102">
        <f>AE136*AC136*AF136*0.0036</f>
        <v>780.3993599999999</v>
      </c>
      <c r="AH136" s="102">
        <f>AE136*AD136*AF136*0.0036</f>
        <v>1272.484512</v>
      </c>
      <c r="AI136" s="2">
        <v>30</v>
      </c>
      <c r="AJ136" s="1">
        <v>12</v>
      </c>
      <c r="AK136" s="1">
        <v>0.59</v>
      </c>
      <c r="AL136" s="1">
        <v>0.58</v>
      </c>
      <c r="AM136" s="44">
        <f>AG136*AI136*AJ136*AK136</f>
        <v>165756.824064</v>
      </c>
      <c r="AN136" s="45">
        <f>AH136*AI136*AJ136*AL136</f>
        <v>265694.7661056</v>
      </c>
      <c r="AO136" s="13" t="s">
        <v>2413</v>
      </c>
    </row>
    <row r="137" spans="1:41" ht="51.75" customHeight="1">
      <c r="A137" s="1">
        <v>119</v>
      </c>
      <c r="B137" s="1" t="s">
        <v>53</v>
      </c>
      <c r="C137" s="1" t="s">
        <v>4</v>
      </c>
      <c r="D137" s="1">
        <v>4</v>
      </c>
      <c r="E137" s="1" t="s">
        <v>462</v>
      </c>
      <c r="F137" s="19" t="s">
        <v>2050</v>
      </c>
      <c r="G137" s="22" t="s">
        <v>2437</v>
      </c>
      <c r="H137" s="1" t="s">
        <v>4166</v>
      </c>
      <c r="I137" s="1" t="s">
        <v>4127</v>
      </c>
      <c r="J137" s="63">
        <v>29104391</v>
      </c>
      <c r="K137" s="1" t="s">
        <v>2438</v>
      </c>
      <c r="L137" s="1">
        <v>3447000</v>
      </c>
      <c r="M137" s="1" t="s">
        <v>3735</v>
      </c>
      <c r="N137" s="1" t="s">
        <v>4181</v>
      </c>
      <c r="O137" s="1">
        <v>3428</v>
      </c>
      <c r="P137" s="64">
        <v>43073</v>
      </c>
      <c r="Q137" s="64">
        <v>46724</v>
      </c>
      <c r="R137" s="62" t="s">
        <v>2440</v>
      </c>
      <c r="S137" s="22" t="s">
        <v>2442</v>
      </c>
      <c r="T137" s="9" t="s">
        <v>2443</v>
      </c>
      <c r="U137" s="29" t="s">
        <v>463</v>
      </c>
      <c r="V137" s="29" t="s">
        <v>2834</v>
      </c>
      <c r="W137" s="29">
        <v>2560</v>
      </c>
      <c r="X137" s="60">
        <v>114390.01</v>
      </c>
      <c r="Y137" s="60">
        <v>104034.57</v>
      </c>
      <c r="Z137" s="2" t="s">
        <v>4051</v>
      </c>
      <c r="AA137" s="67">
        <v>43727</v>
      </c>
      <c r="AB137" s="13" t="s">
        <v>3788</v>
      </c>
      <c r="AC137" s="13">
        <v>66.7</v>
      </c>
      <c r="AD137" s="13">
        <v>50</v>
      </c>
      <c r="AE137" s="13">
        <v>2.98</v>
      </c>
      <c r="AF137" s="2">
        <v>24</v>
      </c>
      <c r="AG137" s="102">
        <f>AE137*AC137*AF137*0.0036</f>
        <v>17.1733824</v>
      </c>
      <c r="AH137" s="102">
        <f>AE137*AD137*AF137*0.0036</f>
        <v>12.8736</v>
      </c>
      <c r="AI137" s="2">
        <v>30</v>
      </c>
      <c r="AJ137" s="1">
        <v>12</v>
      </c>
      <c r="AK137" s="1">
        <v>0.7</v>
      </c>
      <c r="AL137" s="1">
        <v>0.75</v>
      </c>
      <c r="AM137" s="44">
        <f>AG137*AI137*AJ137*AK137</f>
        <v>4327.6923648</v>
      </c>
      <c r="AN137" s="45">
        <f>AH137*AI137*AJ137*AL137</f>
        <v>3475.8719999999994</v>
      </c>
      <c r="AO137" s="13" t="s">
        <v>2413</v>
      </c>
    </row>
    <row r="138" spans="1:41" ht="45" customHeight="1">
      <c r="A138" s="1">
        <v>120</v>
      </c>
      <c r="B138" s="1" t="s">
        <v>53</v>
      </c>
      <c r="C138" s="1" t="s">
        <v>4</v>
      </c>
      <c r="D138" s="1">
        <v>4</v>
      </c>
      <c r="E138" s="1" t="s">
        <v>464</v>
      </c>
      <c r="F138" s="1" t="s">
        <v>2051</v>
      </c>
      <c r="G138" s="22" t="s">
        <v>2437</v>
      </c>
      <c r="H138" s="1" t="s">
        <v>4166</v>
      </c>
      <c r="I138" s="1" t="s">
        <v>4127</v>
      </c>
      <c r="J138" s="63">
        <v>29104391</v>
      </c>
      <c r="K138" s="1" t="s">
        <v>2438</v>
      </c>
      <c r="L138" s="1">
        <v>3447000</v>
      </c>
      <c r="M138" s="1" t="s">
        <v>3735</v>
      </c>
      <c r="N138" s="1" t="s">
        <v>4181</v>
      </c>
      <c r="O138" s="1">
        <v>3428</v>
      </c>
      <c r="P138" s="64">
        <v>43073</v>
      </c>
      <c r="Q138" s="64">
        <v>46724</v>
      </c>
      <c r="R138" s="62" t="s">
        <v>2440</v>
      </c>
      <c r="S138" s="29" t="s">
        <v>2441</v>
      </c>
      <c r="T138" s="9" t="s">
        <v>2443</v>
      </c>
      <c r="U138" s="30" t="s">
        <v>2835</v>
      </c>
      <c r="V138" s="29" t="s">
        <v>2836</v>
      </c>
      <c r="W138" s="29">
        <v>2559</v>
      </c>
      <c r="X138" s="60">
        <v>114340.58</v>
      </c>
      <c r="Y138" s="60">
        <v>104030.23</v>
      </c>
      <c r="Z138" s="2" t="s">
        <v>4052</v>
      </c>
      <c r="AA138" s="67">
        <v>43727</v>
      </c>
      <c r="AB138" s="13" t="s">
        <v>3787</v>
      </c>
      <c r="AC138" s="13">
        <v>261</v>
      </c>
      <c r="AD138" s="13">
        <v>1350</v>
      </c>
      <c r="AE138" s="13">
        <v>1.43</v>
      </c>
      <c r="AF138" s="2">
        <v>24</v>
      </c>
      <c r="AG138" s="102">
        <f>AE138*AC138*AF138*0.0036</f>
        <v>32.247071999999996</v>
      </c>
      <c r="AH138" s="102">
        <f>AE138*AD138*AF138*0.0036</f>
        <v>166.7952</v>
      </c>
      <c r="AI138" s="2">
        <v>30</v>
      </c>
      <c r="AJ138" s="1">
        <v>12</v>
      </c>
      <c r="AK138" s="1">
        <v>0.58</v>
      </c>
      <c r="AL138" s="1">
        <v>0.55</v>
      </c>
      <c r="AM138" s="44">
        <f>AG138*AI138*AJ138*AK138</f>
        <v>6733.188633599999</v>
      </c>
      <c r="AN138" s="45">
        <f>AH138*AI138*AJ138*AL138</f>
        <v>33025.4496</v>
      </c>
      <c r="AO138" s="13" t="s">
        <v>2413</v>
      </c>
    </row>
    <row r="139" spans="1:41" ht="74.25" customHeight="1">
      <c r="A139" s="1">
        <v>121</v>
      </c>
      <c r="B139" s="1" t="s">
        <v>53</v>
      </c>
      <c r="C139" s="1" t="s">
        <v>4</v>
      </c>
      <c r="D139" s="1">
        <v>4</v>
      </c>
      <c r="E139" s="1" t="s">
        <v>1026</v>
      </c>
      <c r="F139" s="1" t="s">
        <v>1032</v>
      </c>
      <c r="G139" s="22" t="s">
        <v>2437</v>
      </c>
      <c r="H139" s="1" t="s">
        <v>4166</v>
      </c>
      <c r="I139" s="1" t="s">
        <v>4127</v>
      </c>
      <c r="J139" s="63">
        <v>29104391</v>
      </c>
      <c r="K139" s="1" t="s">
        <v>2438</v>
      </c>
      <c r="L139" s="1">
        <v>3447000</v>
      </c>
      <c r="M139" s="1" t="s">
        <v>3735</v>
      </c>
      <c r="N139" s="1" t="s">
        <v>4181</v>
      </c>
      <c r="O139" s="1">
        <v>3428</v>
      </c>
      <c r="P139" s="64">
        <v>43073</v>
      </c>
      <c r="Q139" s="64">
        <v>46724</v>
      </c>
      <c r="R139" s="62" t="s">
        <v>2440</v>
      </c>
      <c r="S139" s="29" t="s">
        <v>2441</v>
      </c>
      <c r="T139" s="9" t="s">
        <v>2443</v>
      </c>
      <c r="U139" s="30" t="s">
        <v>1031</v>
      </c>
      <c r="V139" s="29" t="s">
        <v>2837</v>
      </c>
      <c r="W139" s="29">
        <v>2559</v>
      </c>
      <c r="X139" s="60">
        <v>114325.46</v>
      </c>
      <c r="Y139" s="60">
        <v>104024.48</v>
      </c>
      <c r="Z139" s="2" t="s">
        <v>4036</v>
      </c>
      <c r="AA139" s="67">
        <v>43420</v>
      </c>
      <c r="AB139" s="129">
        <v>0.5520833333333334</v>
      </c>
      <c r="AC139" s="46"/>
      <c r="AD139" s="46"/>
      <c r="AE139" s="46"/>
      <c r="AF139" s="46"/>
      <c r="AG139" s="43"/>
      <c r="AH139" s="43"/>
      <c r="AI139" s="2"/>
      <c r="AJ139" s="1"/>
      <c r="AK139" s="46"/>
      <c r="AL139" s="46"/>
      <c r="AM139" s="117">
        <v>1106.319048338856</v>
      </c>
      <c r="AN139" s="118">
        <v>417.50076882366983</v>
      </c>
      <c r="AO139" s="2" t="s">
        <v>2413</v>
      </c>
    </row>
    <row r="140" spans="1:41" ht="80.25" customHeight="1">
      <c r="A140" s="1">
        <v>122</v>
      </c>
      <c r="B140" s="1" t="s">
        <v>53</v>
      </c>
      <c r="C140" s="1" t="s">
        <v>4</v>
      </c>
      <c r="D140" s="1">
        <v>4</v>
      </c>
      <c r="E140" s="1" t="s">
        <v>1027</v>
      </c>
      <c r="F140" s="1" t="s">
        <v>1032</v>
      </c>
      <c r="G140" s="22" t="s">
        <v>2437</v>
      </c>
      <c r="H140" s="1" t="s">
        <v>4166</v>
      </c>
      <c r="I140" s="1" t="s">
        <v>4127</v>
      </c>
      <c r="J140" s="63">
        <v>29104391</v>
      </c>
      <c r="K140" s="1" t="s">
        <v>2438</v>
      </c>
      <c r="L140" s="1">
        <v>3447000</v>
      </c>
      <c r="M140" s="1" t="s">
        <v>3735</v>
      </c>
      <c r="N140" s="1" t="s">
        <v>4181</v>
      </c>
      <c r="O140" s="1">
        <v>3428</v>
      </c>
      <c r="P140" s="64">
        <v>43073</v>
      </c>
      <c r="Q140" s="64">
        <v>46724</v>
      </c>
      <c r="R140" s="62" t="s">
        <v>2440</v>
      </c>
      <c r="S140" s="22" t="s">
        <v>2442</v>
      </c>
      <c r="T140" s="9" t="s">
        <v>2443</v>
      </c>
      <c r="U140" s="30" t="s">
        <v>2839</v>
      </c>
      <c r="V140" s="29" t="s">
        <v>2838</v>
      </c>
      <c r="W140" s="29">
        <v>2559</v>
      </c>
      <c r="X140" s="60">
        <v>114281.27</v>
      </c>
      <c r="Y140" s="60">
        <v>104026.84</v>
      </c>
      <c r="Z140" s="2" t="s">
        <v>4037</v>
      </c>
      <c r="AA140" s="67">
        <v>43421</v>
      </c>
      <c r="AB140" s="129">
        <v>0.6666666666666666</v>
      </c>
      <c r="AC140" s="46"/>
      <c r="AD140" s="46"/>
      <c r="AE140" s="46"/>
      <c r="AF140" s="46"/>
      <c r="AG140" s="43"/>
      <c r="AH140" s="43"/>
      <c r="AI140" s="2"/>
      <c r="AJ140" s="1"/>
      <c r="AK140" s="46"/>
      <c r="AL140" s="46"/>
      <c r="AM140" s="117">
        <v>123.26333744434667</v>
      </c>
      <c r="AN140" s="118">
        <v>151.12079440163768</v>
      </c>
      <c r="AO140" s="2" t="s">
        <v>2413</v>
      </c>
    </row>
    <row r="141" spans="1:41" ht="12.75">
      <c r="A141" s="1">
        <v>123</v>
      </c>
      <c r="B141" s="1" t="s">
        <v>53</v>
      </c>
      <c r="C141" s="1" t="s">
        <v>4</v>
      </c>
      <c r="D141" s="1">
        <v>4</v>
      </c>
      <c r="E141" s="4" t="s">
        <v>1028</v>
      </c>
      <c r="F141" s="13" t="s">
        <v>1033</v>
      </c>
      <c r="G141" s="22" t="s">
        <v>2437</v>
      </c>
      <c r="H141" s="1" t="s">
        <v>4166</v>
      </c>
      <c r="I141" s="1" t="s">
        <v>4127</v>
      </c>
      <c r="J141" s="63">
        <v>29104391</v>
      </c>
      <c r="K141" s="1" t="s">
        <v>2438</v>
      </c>
      <c r="L141" s="1">
        <v>3447000</v>
      </c>
      <c r="M141" s="1" t="s">
        <v>3735</v>
      </c>
      <c r="N141" s="1" t="s">
        <v>4181</v>
      </c>
      <c r="O141" s="1">
        <v>3428</v>
      </c>
      <c r="P141" s="64">
        <v>43073</v>
      </c>
      <c r="Q141" s="64">
        <v>46724</v>
      </c>
      <c r="R141" s="62" t="s">
        <v>2440</v>
      </c>
      <c r="S141" s="22" t="s">
        <v>2442</v>
      </c>
      <c r="T141" s="9" t="s">
        <v>2443</v>
      </c>
      <c r="U141" s="25" t="s">
        <v>2841</v>
      </c>
      <c r="V141" s="21" t="s">
        <v>2840</v>
      </c>
      <c r="W141" s="21">
        <v>2558</v>
      </c>
      <c r="X141" s="60">
        <v>114106.11</v>
      </c>
      <c r="Y141" s="60">
        <v>104018.24</v>
      </c>
      <c r="Z141" s="2" t="s">
        <v>3741</v>
      </c>
      <c r="AA141" s="46"/>
      <c r="AB141" s="46"/>
      <c r="AC141" s="46"/>
      <c r="AD141" s="46"/>
      <c r="AE141" s="46"/>
      <c r="AF141" s="46"/>
      <c r="AG141" s="43"/>
      <c r="AH141" s="43"/>
      <c r="AI141" s="2"/>
      <c r="AJ141" s="1"/>
      <c r="AK141" s="46"/>
      <c r="AL141" s="46"/>
      <c r="AM141" s="44">
        <f t="shared" si="3"/>
        <v>0</v>
      </c>
      <c r="AN141" s="45">
        <f t="shared" si="4"/>
        <v>0</v>
      </c>
      <c r="AO141" s="46"/>
    </row>
    <row r="142" spans="1:41" ht="56.25" customHeight="1">
      <c r="A142" s="1">
        <v>124</v>
      </c>
      <c r="B142" s="1" t="s">
        <v>53</v>
      </c>
      <c r="C142" s="1" t="s">
        <v>4</v>
      </c>
      <c r="D142" s="1">
        <v>4</v>
      </c>
      <c r="E142" s="4" t="s">
        <v>1029</v>
      </c>
      <c r="F142" s="13" t="s">
        <v>1033</v>
      </c>
      <c r="G142" s="22" t="s">
        <v>2437</v>
      </c>
      <c r="H142" s="1" t="s">
        <v>4166</v>
      </c>
      <c r="I142" s="1" t="s">
        <v>4127</v>
      </c>
      <c r="J142" s="63">
        <v>29104391</v>
      </c>
      <c r="K142" s="1" t="s">
        <v>2438</v>
      </c>
      <c r="L142" s="1">
        <v>3447000</v>
      </c>
      <c r="M142" s="1" t="s">
        <v>3735</v>
      </c>
      <c r="N142" s="1" t="s">
        <v>4181</v>
      </c>
      <c r="O142" s="1">
        <v>3428</v>
      </c>
      <c r="P142" s="64">
        <v>43073</v>
      </c>
      <c r="Q142" s="64">
        <v>46724</v>
      </c>
      <c r="R142" s="62" t="s">
        <v>2440</v>
      </c>
      <c r="S142" s="22" t="s">
        <v>2442</v>
      </c>
      <c r="T142" s="9" t="s">
        <v>2443</v>
      </c>
      <c r="U142" s="25" t="s">
        <v>2843</v>
      </c>
      <c r="V142" s="21" t="s">
        <v>2842</v>
      </c>
      <c r="W142" s="21">
        <v>2559</v>
      </c>
      <c r="X142" s="60">
        <v>114088.9</v>
      </c>
      <c r="Y142" s="60">
        <v>104017.62</v>
      </c>
      <c r="Z142" s="2" t="s">
        <v>4053</v>
      </c>
      <c r="AA142" s="83">
        <v>43728</v>
      </c>
      <c r="AB142" s="13" t="s">
        <v>3789</v>
      </c>
      <c r="AC142" s="13">
        <v>196</v>
      </c>
      <c r="AD142" s="13">
        <v>125</v>
      </c>
      <c r="AE142" s="13">
        <v>4.31</v>
      </c>
      <c r="AF142" s="2">
        <v>24</v>
      </c>
      <c r="AG142" s="102">
        <f>AE142*AC142*AF142*0.0036</f>
        <v>72.987264</v>
      </c>
      <c r="AH142" s="102">
        <f>AE142*AD142*AF142*0.0036</f>
        <v>46.548</v>
      </c>
      <c r="AI142" s="2">
        <v>30</v>
      </c>
      <c r="AJ142" s="1">
        <v>12</v>
      </c>
      <c r="AK142" s="1">
        <v>0.52</v>
      </c>
      <c r="AL142" s="1">
        <v>0.59</v>
      </c>
      <c r="AM142" s="44">
        <f>AG142*AI142*AJ142*AK142</f>
        <v>13663.215820799998</v>
      </c>
      <c r="AN142" s="45">
        <f>AH142*AI142*AJ142*AL142</f>
        <v>9886.795199999999</v>
      </c>
      <c r="AO142" s="2" t="s">
        <v>2413</v>
      </c>
    </row>
    <row r="143" spans="1:41" ht="12.75">
      <c r="A143" s="1">
        <v>125</v>
      </c>
      <c r="B143" s="1" t="s">
        <v>53</v>
      </c>
      <c r="C143" s="1" t="s">
        <v>4</v>
      </c>
      <c r="D143" s="1">
        <v>4</v>
      </c>
      <c r="E143" s="4" t="s">
        <v>1030</v>
      </c>
      <c r="F143" s="13" t="s">
        <v>1033</v>
      </c>
      <c r="G143" s="22" t="s">
        <v>2437</v>
      </c>
      <c r="H143" s="1" t="s">
        <v>4166</v>
      </c>
      <c r="I143" s="1" t="s">
        <v>4127</v>
      </c>
      <c r="J143" s="63">
        <v>29104391</v>
      </c>
      <c r="K143" s="1" t="s">
        <v>2438</v>
      </c>
      <c r="L143" s="1">
        <v>3447000</v>
      </c>
      <c r="M143" s="1" t="s">
        <v>3735</v>
      </c>
      <c r="N143" s="1" t="s">
        <v>4181</v>
      </c>
      <c r="O143" s="1">
        <v>3428</v>
      </c>
      <c r="P143" s="64">
        <v>43073</v>
      </c>
      <c r="Q143" s="64">
        <v>46724</v>
      </c>
      <c r="R143" s="62" t="s">
        <v>2440</v>
      </c>
      <c r="S143" s="29" t="s">
        <v>2441</v>
      </c>
      <c r="T143" s="9" t="s">
        <v>2443</v>
      </c>
      <c r="U143" s="25" t="s">
        <v>2845</v>
      </c>
      <c r="V143" s="21" t="s">
        <v>2844</v>
      </c>
      <c r="W143" s="21">
        <v>2559</v>
      </c>
      <c r="X143" s="60">
        <v>114084.91</v>
      </c>
      <c r="Y143" s="60">
        <v>104012.38</v>
      </c>
      <c r="Z143" s="2" t="s">
        <v>3741</v>
      </c>
      <c r="AA143" s="46"/>
      <c r="AB143" s="46"/>
      <c r="AC143" s="46"/>
      <c r="AD143" s="46"/>
      <c r="AE143" s="46"/>
      <c r="AF143" s="46"/>
      <c r="AG143" s="43"/>
      <c r="AH143" s="43"/>
      <c r="AI143" s="2"/>
      <c r="AJ143" s="1"/>
      <c r="AK143" s="46"/>
      <c r="AL143" s="46"/>
      <c r="AM143" s="44">
        <f t="shared" si="3"/>
        <v>0</v>
      </c>
      <c r="AN143" s="45">
        <f t="shared" si="4"/>
        <v>0</v>
      </c>
      <c r="AO143" s="46"/>
    </row>
    <row r="144" spans="1:41" ht="47.25" customHeight="1">
      <c r="A144" s="1">
        <v>126</v>
      </c>
      <c r="B144" s="1" t="s">
        <v>53</v>
      </c>
      <c r="C144" s="1" t="s">
        <v>4</v>
      </c>
      <c r="D144" s="1">
        <v>4</v>
      </c>
      <c r="E144" s="1" t="s">
        <v>1025</v>
      </c>
      <c r="F144" s="1" t="s">
        <v>2052</v>
      </c>
      <c r="G144" s="22" t="s">
        <v>2437</v>
      </c>
      <c r="H144" s="1" t="s">
        <v>4166</v>
      </c>
      <c r="I144" s="1" t="s">
        <v>4127</v>
      </c>
      <c r="J144" s="63">
        <v>29104391</v>
      </c>
      <c r="K144" s="1" t="s">
        <v>2438</v>
      </c>
      <c r="L144" s="1">
        <v>3447000</v>
      </c>
      <c r="M144" s="1" t="s">
        <v>3735</v>
      </c>
      <c r="N144" s="1" t="s">
        <v>4181</v>
      </c>
      <c r="O144" s="1">
        <v>3428</v>
      </c>
      <c r="P144" s="64">
        <v>43073</v>
      </c>
      <c r="Q144" s="64">
        <v>46724</v>
      </c>
      <c r="R144" s="62" t="s">
        <v>2440</v>
      </c>
      <c r="S144" s="22" t="s">
        <v>2442</v>
      </c>
      <c r="T144" s="9" t="s">
        <v>2443</v>
      </c>
      <c r="U144" s="29" t="s">
        <v>61</v>
      </c>
      <c r="V144" s="29" t="s">
        <v>2846</v>
      </c>
      <c r="W144" s="29">
        <v>2558</v>
      </c>
      <c r="X144" s="60">
        <v>113829.54</v>
      </c>
      <c r="Y144" s="60">
        <v>104009.95</v>
      </c>
      <c r="Z144" s="2" t="s">
        <v>3744</v>
      </c>
      <c r="AA144" s="67">
        <v>43791</v>
      </c>
      <c r="AB144" s="2" t="s">
        <v>2408</v>
      </c>
      <c r="AC144" s="2">
        <v>47</v>
      </c>
      <c r="AD144" s="2">
        <v>28</v>
      </c>
      <c r="AE144" s="2">
        <v>0.232</v>
      </c>
      <c r="AF144" s="2">
        <v>24</v>
      </c>
      <c r="AG144" s="43">
        <f>AE144*AC144*AF144*0.0036</f>
        <v>0.9421056000000001</v>
      </c>
      <c r="AH144" s="43">
        <f>AE144*AD144*AF144*0.0036</f>
        <v>0.5612543999999999</v>
      </c>
      <c r="AI144" s="2">
        <v>30</v>
      </c>
      <c r="AJ144" s="1">
        <v>12</v>
      </c>
      <c r="AK144" s="1">
        <v>0.55</v>
      </c>
      <c r="AL144" s="1">
        <v>0.59</v>
      </c>
      <c r="AM144" s="117">
        <f t="shared" si="3"/>
        <v>186.53690880000002</v>
      </c>
      <c r="AN144" s="118">
        <f t="shared" si="4"/>
        <v>119.21043455999998</v>
      </c>
      <c r="AO144" s="2" t="s">
        <v>2413</v>
      </c>
    </row>
    <row r="145" spans="1:41" ht="12.75">
      <c r="A145" s="1">
        <v>127</v>
      </c>
      <c r="B145" s="1" t="s">
        <v>53</v>
      </c>
      <c r="C145" s="1" t="s">
        <v>4</v>
      </c>
      <c r="D145" s="1">
        <v>4</v>
      </c>
      <c r="E145" s="4" t="s">
        <v>1034</v>
      </c>
      <c r="F145" s="13" t="s">
        <v>1039</v>
      </c>
      <c r="G145" s="22" t="s">
        <v>2437</v>
      </c>
      <c r="H145" s="1" t="s">
        <v>4166</v>
      </c>
      <c r="I145" s="1" t="s">
        <v>4127</v>
      </c>
      <c r="J145" s="63">
        <v>29104391</v>
      </c>
      <c r="K145" s="1" t="s">
        <v>2438</v>
      </c>
      <c r="L145" s="1">
        <v>3447000</v>
      </c>
      <c r="M145" s="1" t="s">
        <v>3735</v>
      </c>
      <c r="N145" s="1" t="s">
        <v>4181</v>
      </c>
      <c r="O145" s="1">
        <v>3428</v>
      </c>
      <c r="P145" s="64">
        <v>43073</v>
      </c>
      <c r="Q145" s="64">
        <v>46724</v>
      </c>
      <c r="R145" s="62" t="s">
        <v>2440</v>
      </c>
      <c r="S145" s="29" t="s">
        <v>2441</v>
      </c>
      <c r="T145" s="9" t="s">
        <v>2443</v>
      </c>
      <c r="U145" s="26" t="s">
        <v>2848</v>
      </c>
      <c r="V145" s="22" t="s">
        <v>2847</v>
      </c>
      <c r="W145" s="29">
        <v>2558</v>
      </c>
      <c r="X145" s="60">
        <v>113832.62</v>
      </c>
      <c r="Y145" s="60">
        <v>104002.86</v>
      </c>
      <c r="Z145" s="2" t="s">
        <v>3741</v>
      </c>
      <c r="AA145" s="46"/>
      <c r="AB145" s="46"/>
      <c r="AC145" s="46"/>
      <c r="AD145" s="46"/>
      <c r="AE145" s="46"/>
      <c r="AF145" s="46"/>
      <c r="AG145" s="43"/>
      <c r="AH145" s="43"/>
      <c r="AI145" s="2"/>
      <c r="AJ145" s="1"/>
      <c r="AK145" s="46"/>
      <c r="AL145" s="46"/>
      <c r="AM145" s="44">
        <f t="shared" si="3"/>
        <v>0</v>
      </c>
      <c r="AN145" s="45">
        <f t="shared" si="4"/>
        <v>0</v>
      </c>
      <c r="AO145" s="46"/>
    </row>
    <row r="146" spans="1:41" ht="12.75">
      <c r="A146" s="1">
        <v>128</v>
      </c>
      <c r="B146" s="1" t="s">
        <v>53</v>
      </c>
      <c r="C146" s="1" t="s">
        <v>4</v>
      </c>
      <c r="D146" s="1">
        <v>4</v>
      </c>
      <c r="E146" s="4" t="s">
        <v>1035</v>
      </c>
      <c r="F146" s="13" t="s">
        <v>1040</v>
      </c>
      <c r="G146" s="22" t="s">
        <v>2437</v>
      </c>
      <c r="H146" s="1" t="s">
        <v>4166</v>
      </c>
      <c r="I146" s="1" t="s">
        <v>4127</v>
      </c>
      <c r="J146" s="63">
        <v>29104391</v>
      </c>
      <c r="K146" s="1" t="s">
        <v>2438</v>
      </c>
      <c r="L146" s="1">
        <v>3447000</v>
      </c>
      <c r="M146" s="1" t="s">
        <v>3735</v>
      </c>
      <c r="N146" s="1" t="s">
        <v>4181</v>
      </c>
      <c r="O146" s="1">
        <v>3428</v>
      </c>
      <c r="P146" s="64">
        <v>43073</v>
      </c>
      <c r="Q146" s="64">
        <v>46724</v>
      </c>
      <c r="R146" s="62" t="s">
        <v>2440</v>
      </c>
      <c r="S146" s="29" t="s">
        <v>2441</v>
      </c>
      <c r="T146" s="9" t="s">
        <v>2443</v>
      </c>
      <c r="U146" s="26" t="s">
        <v>2850</v>
      </c>
      <c r="V146" s="22" t="s">
        <v>2849</v>
      </c>
      <c r="W146" s="29">
        <v>2558</v>
      </c>
      <c r="X146" s="60">
        <v>113690.34</v>
      </c>
      <c r="Y146" s="60">
        <v>103991.48</v>
      </c>
      <c r="Z146" s="2" t="s">
        <v>3741</v>
      </c>
      <c r="AA146" s="46"/>
      <c r="AB146" s="46"/>
      <c r="AC146" s="46"/>
      <c r="AD146" s="46"/>
      <c r="AE146" s="46"/>
      <c r="AF146" s="46"/>
      <c r="AG146" s="43"/>
      <c r="AH146" s="43"/>
      <c r="AI146" s="2"/>
      <c r="AJ146" s="1"/>
      <c r="AK146" s="46"/>
      <c r="AL146" s="46"/>
      <c r="AM146" s="44">
        <f t="shared" si="3"/>
        <v>0</v>
      </c>
      <c r="AN146" s="45">
        <f t="shared" si="4"/>
        <v>0</v>
      </c>
      <c r="AO146" s="46"/>
    </row>
    <row r="147" spans="1:41" ht="12.75">
      <c r="A147" s="1">
        <v>129</v>
      </c>
      <c r="B147" s="1" t="s">
        <v>53</v>
      </c>
      <c r="C147" s="1" t="s">
        <v>4</v>
      </c>
      <c r="D147" s="1">
        <v>4</v>
      </c>
      <c r="E147" s="4" t="s">
        <v>1036</v>
      </c>
      <c r="F147" s="13" t="s">
        <v>1041</v>
      </c>
      <c r="G147" s="22" t="s">
        <v>2437</v>
      </c>
      <c r="H147" s="1" t="s">
        <v>4166</v>
      </c>
      <c r="I147" s="1" t="s">
        <v>4127</v>
      </c>
      <c r="J147" s="63">
        <v>29104391</v>
      </c>
      <c r="K147" s="1" t="s">
        <v>2438</v>
      </c>
      <c r="L147" s="1">
        <v>3447000</v>
      </c>
      <c r="M147" s="1" t="s">
        <v>3735</v>
      </c>
      <c r="N147" s="1" t="s">
        <v>4181</v>
      </c>
      <c r="O147" s="1">
        <v>3428</v>
      </c>
      <c r="P147" s="64">
        <v>43073</v>
      </c>
      <c r="Q147" s="64">
        <v>46724</v>
      </c>
      <c r="R147" s="62" t="s">
        <v>2440</v>
      </c>
      <c r="S147" s="29" t="s">
        <v>2441</v>
      </c>
      <c r="T147" s="9" t="s">
        <v>2443</v>
      </c>
      <c r="U147" s="26" t="s">
        <v>2852</v>
      </c>
      <c r="V147" s="22" t="s">
        <v>2851</v>
      </c>
      <c r="W147" s="22">
        <v>2559</v>
      </c>
      <c r="X147" s="60">
        <v>113877.46</v>
      </c>
      <c r="Y147" s="60">
        <v>103854.26</v>
      </c>
      <c r="Z147" s="2" t="s">
        <v>3741</v>
      </c>
      <c r="AA147" s="46"/>
      <c r="AB147" s="46"/>
      <c r="AC147" s="46"/>
      <c r="AD147" s="46"/>
      <c r="AE147" s="46"/>
      <c r="AF147" s="46"/>
      <c r="AG147" s="43"/>
      <c r="AH147" s="43"/>
      <c r="AI147" s="2"/>
      <c r="AJ147" s="1"/>
      <c r="AK147" s="46"/>
      <c r="AL147" s="46"/>
      <c r="AM147" s="44">
        <f t="shared" si="3"/>
        <v>0</v>
      </c>
      <c r="AN147" s="45">
        <f t="shared" si="4"/>
        <v>0</v>
      </c>
      <c r="AO147" s="46"/>
    </row>
    <row r="148" spans="1:41" ht="12.75">
      <c r="A148" s="1">
        <v>130</v>
      </c>
      <c r="B148" s="1" t="s">
        <v>53</v>
      </c>
      <c r="C148" s="1" t="s">
        <v>4</v>
      </c>
      <c r="D148" s="1">
        <v>4</v>
      </c>
      <c r="E148" s="4" t="s">
        <v>1037</v>
      </c>
      <c r="F148" s="13" t="s">
        <v>1042</v>
      </c>
      <c r="G148" s="22" t="s">
        <v>2437</v>
      </c>
      <c r="H148" s="1" t="s">
        <v>4166</v>
      </c>
      <c r="I148" s="1" t="s">
        <v>4127</v>
      </c>
      <c r="J148" s="63">
        <v>29104391</v>
      </c>
      <c r="K148" s="1" t="s">
        <v>2438</v>
      </c>
      <c r="L148" s="1">
        <v>3447000</v>
      </c>
      <c r="M148" s="1" t="s">
        <v>3735</v>
      </c>
      <c r="N148" s="1" t="s">
        <v>4181</v>
      </c>
      <c r="O148" s="1">
        <v>3428</v>
      </c>
      <c r="P148" s="64">
        <v>43073</v>
      </c>
      <c r="Q148" s="64">
        <v>46724</v>
      </c>
      <c r="R148" s="62" t="s">
        <v>2440</v>
      </c>
      <c r="S148" s="22" t="s">
        <v>2442</v>
      </c>
      <c r="T148" s="9" t="s">
        <v>2443</v>
      </c>
      <c r="U148" s="26" t="s">
        <v>1038</v>
      </c>
      <c r="V148" s="22" t="s">
        <v>2853</v>
      </c>
      <c r="W148" s="22">
        <v>2560</v>
      </c>
      <c r="X148" s="60">
        <v>113301.89</v>
      </c>
      <c r="Y148" s="60">
        <v>103815.49</v>
      </c>
      <c r="Z148" s="2" t="s">
        <v>3741</v>
      </c>
      <c r="AA148" s="46"/>
      <c r="AB148" s="46"/>
      <c r="AC148" s="46"/>
      <c r="AD148" s="46"/>
      <c r="AE148" s="46"/>
      <c r="AF148" s="46"/>
      <c r="AG148" s="43"/>
      <c r="AH148" s="43"/>
      <c r="AI148" s="2"/>
      <c r="AJ148" s="1"/>
      <c r="AK148" s="46"/>
      <c r="AL148" s="46"/>
      <c r="AM148" s="44">
        <f t="shared" si="3"/>
        <v>0</v>
      </c>
      <c r="AN148" s="45">
        <f t="shared" si="4"/>
        <v>0</v>
      </c>
      <c r="AO148" s="46"/>
    </row>
    <row r="149" spans="1:41" ht="12.75">
      <c r="A149" s="215" t="s">
        <v>2414</v>
      </c>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119">
        <f>AM129+AM130+AM133+AM134+AM139+AM140+AM144</f>
        <v>12733.850559182558</v>
      </c>
      <c r="AN149" s="119">
        <f>AN129+AN130+AN133+AN134+AN139+AN140+AN144</f>
        <v>6635.970708697618</v>
      </c>
      <c r="AO149" s="46"/>
    </row>
    <row r="150" spans="1:43" ht="12.75">
      <c r="A150" s="213" t="s">
        <v>2415</v>
      </c>
      <c r="B150" s="214"/>
      <c r="C150" s="214"/>
      <c r="D150" s="214"/>
      <c r="E150" s="214"/>
      <c r="F150" s="214"/>
      <c r="G150" s="214"/>
      <c r="H150" s="214"/>
      <c r="I150" s="214"/>
      <c r="J150" s="214"/>
      <c r="K150" s="214"/>
      <c r="L150" s="214"/>
      <c r="M150" s="214"/>
      <c r="N150" s="214"/>
      <c r="O150" s="214"/>
      <c r="P150" s="214"/>
      <c r="Q150" s="214"/>
      <c r="R150" s="214"/>
      <c r="S150" s="214"/>
      <c r="T150" s="214"/>
      <c r="U150" s="214"/>
      <c r="V150" s="214"/>
      <c r="W150" s="214"/>
      <c r="X150" s="214"/>
      <c r="Y150" s="214"/>
      <c r="Z150" s="214"/>
      <c r="AA150" s="214"/>
      <c r="AB150" s="214"/>
      <c r="AC150" s="214"/>
      <c r="AD150" s="214"/>
      <c r="AE150" s="214"/>
      <c r="AF150" s="214"/>
      <c r="AG150" s="214"/>
      <c r="AH150" s="214"/>
      <c r="AI150" s="214"/>
      <c r="AJ150" s="214"/>
      <c r="AK150" s="214"/>
      <c r="AL150" s="214"/>
      <c r="AM150" s="73">
        <f>SUM(AM129:AM148)</f>
        <v>203214.7714423825</v>
      </c>
      <c r="AN150" s="73">
        <f>SUM(AN129:AN148)</f>
        <v>318718.8536142976</v>
      </c>
      <c r="AO150" s="46"/>
      <c r="AP150" s="97"/>
      <c r="AQ150" s="97"/>
    </row>
    <row r="151" spans="1:41" ht="12.75">
      <c r="A151" s="1">
        <v>131</v>
      </c>
      <c r="B151" s="1" t="s">
        <v>54</v>
      </c>
      <c r="C151" s="1" t="s">
        <v>4</v>
      </c>
      <c r="D151" s="1">
        <v>4</v>
      </c>
      <c r="E151" s="1" t="s">
        <v>865</v>
      </c>
      <c r="F151" s="1" t="s">
        <v>866</v>
      </c>
      <c r="G151" s="22" t="s">
        <v>2437</v>
      </c>
      <c r="H151" s="1" t="s">
        <v>4166</v>
      </c>
      <c r="I151" s="1" t="s">
        <v>4127</v>
      </c>
      <c r="J151" s="63">
        <v>29104391</v>
      </c>
      <c r="K151" s="1" t="s">
        <v>2438</v>
      </c>
      <c r="L151" s="1">
        <v>3447000</v>
      </c>
      <c r="M151" s="1" t="s">
        <v>3735</v>
      </c>
      <c r="N151" s="1" t="s">
        <v>4181</v>
      </c>
      <c r="O151" s="1">
        <v>3428</v>
      </c>
      <c r="P151" s="64">
        <v>43073</v>
      </c>
      <c r="Q151" s="64">
        <v>46724</v>
      </c>
      <c r="R151" s="62" t="s">
        <v>2440</v>
      </c>
      <c r="S151" s="30" t="s">
        <v>2436</v>
      </c>
      <c r="T151" s="2" t="s">
        <v>2447</v>
      </c>
      <c r="U151" s="22" t="s">
        <v>2854</v>
      </c>
      <c r="V151" s="22" t="s">
        <v>2855</v>
      </c>
      <c r="W151" s="22">
        <v>2565</v>
      </c>
      <c r="X151" s="60">
        <v>112982.443</v>
      </c>
      <c r="Y151" s="60">
        <v>104700.383</v>
      </c>
      <c r="Z151" s="2" t="s">
        <v>3741</v>
      </c>
      <c r="AA151" s="46"/>
      <c r="AB151" s="46"/>
      <c r="AC151" s="46"/>
      <c r="AD151" s="46"/>
      <c r="AE151" s="46"/>
      <c r="AF151" s="46"/>
      <c r="AG151" s="43"/>
      <c r="AH151" s="43"/>
      <c r="AI151" s="2"/>
      <c r="AJ151" s="1"/>
      <c r="AK151" s="46"/>
      <c r="AL151" s="46"/>
      <c r="AM151" s="44">
        <f aca="true" t="shared" si="5" ref="AM151:AM198">AG151*AI151*AJ151*AK151</f>
        <v>0</v>
      </c>
      <c r="AN151" s="45">
        <f aca="true" t="shared" si="6" ref="AN151:AN198">AH151*AI151*AJ151*AL151</f>
        <v>0</v>
      </c>
      <c r="AO151" s="46"/>
    </row>
    <row r="152" spans="1:41" ht="49.5" customHeight="1">
      <c r="A152" s="1">
        <v>132</v>
      </c>
      <c r="B152" s="1" t="s">
        <v>54</v>
      </c>
      <c r="C152" s="1" t="s">
        <v>4</v>
      </c>
      <c r="D152" s="2">
        <v>4</v>
      </c>
      <c r="E152" s="2" t="s">
        <v>867</v>
      </c>
      <c r="F152" s="2" t="s">
        <v>868</v>
      </c>
      <c r="G152" s="22" t="s">
        <v>2437</v>
      </c>
      <c r="H152" s="1" t="s">
        <v>4166</v>
      </c>
      <c r="I152" s="1" t="s">
        <v>4127</v>
      </c>
      <c r="J152" s="63">
        <v>29104391</v>
      </c>
      <c r="K152" s="1" t="s">
        <v>2438</v>
      </c>
      <c r="L152" s="1">
        <v>3447000</v>
      </c>
      <c r="M152" s="1" t="s">
        <v>3735</v>
      </c>
      <c r="N152" s="1" t="s">
        <v>4181</v>
      </c>
      <c r="O152" s="1">
        <v>3428</v>
      </c>
      <c r="P152" s="64">
        <v>43073</v>
      </c>
      <c r="Q152" s="64">
        <v>46724</v>
      </c>
      <c r="R152" s="62" t="s">
        <v>2440</v>
      </c>
      <c r="S152" s="29" t="s">
        <v>2441</v>
      </c>
      <c r="T152" s="2" t="s">
        <v>2447</v>
      </c>
      <c r="U152" s="22" t="s">
        <v>2856</v>
      </c>
      <c r="V152" s="22" t="s">
        <v>2857</v>
      </c>
      <c r="W152" s="22">
        <v>2563</v>
      </c>
      <c r="X152" s="60">
        <v>113081.95</v>
      </c>
      <c r="Y152" s="60">
        <v>104383.73</v>
      </c>
      <c r="Z152" s="2" t="s">
        <v>3790</v>
      </c>
      <c r="AA152" s="67">
        <v>43795</v>
      </c>
      <c r="AB152" s="50">
        <v>0.3819444444444444</v>
      </c>
      <c r="AC152" s="103"/>
      <c r="AD152" s="103"/>
      <c r="AE152" s="103"/>
      <c r="AF152" s="103"/>
      <c r="AG152" s="103"/>
      <c r="AH152" s="103"/>
      <c r="AI152" s="103"/>
      <c r="AJ152" s="103"/>
      <c r="AK152" s="103"/>
      <c r="AL152" s="103"/>
      <c r="AM152" s="117">
        <f t="shared" si="5"/>
        <v>0</v>
      </c>
      <c r="AN152" s="118">
        <f t="shared" si="6"/>
        <v>0</v>
      </c>
      <c r="AO152" s="46"/>
    </row>
    <row r="153" spans="1:41" ht="25.5">
      <c r="A153" s="1">
        <v>133</v>
      </c>
      <c r="B153" s="1" t="s">
        <v>54</v>
      </c>
      <c r="C153" s="1" t="s">
        <v>4</v>
      </c>
      <c r="D153" s="2">
        <v>4</v>
      </c>
      <c r="E153" s="2" t="s">
        <v>869</v>
      </c>
      <c r="F153" s="2" t="s">
        <v>900</v>
      </c>
      <c r="G153" s="22" t="s">
        <v>2437</v>
      </c>
      <c r="H153" s="1" t="s">
        <v>4166</v>
      </c>
      <c r="I153" s="1" t="s">
        <v>4127</v>
      </c>
      <c r="J153" s="63">
        <v>29104391</v>
      </c>
      <c r="K153" s="1" t="s">
        <v>2438</v>
      </c>
      <c r="L153" s="1">
        <v>3447000</v>
      </c>
      <c r="M153" s="1" t="s">
        <v>3735</v>
      </c>
      <c r="N153" s="1" t="s">
        <v>4181</v>
      </c>
      <c r="O153" s="1">
        <v>3428</v>
      </c>
      <c r="P153" s="64">
        <v>43073</v>
      </c>
      <c r="Q153" s="64">
        <v>46724</v>
      </c>
      <c r="R153" s="62" t="s">
        <v>2440</v>
      </c>
      <c r="S153" s="29" t="s">
        <v>2441</v>
      </c>
      <c r="T153" s="9" t="s">
        <v>2443</v>
      </c>
      <c r="U153" s="1" t="s">
        <v>871</v>
      </c>
      <c r="V153" s="1" t="s">
        <v>2858</v>
      </c>
      <c r="W153" s="22">
        <v>2560</v>
      </c>
      <c r="X153" s="60">
        <v>113295.501</v>
      </c>
      <c r="Y153" s="60">
        <v>103784.153</v>
      </c>
      <c r="Z153" s="2" t="s">
        <v>3741</v>
      </c>
      <c r="AA153" s="46"/>
      <c r="AB153" s="46"/>
      <c r="AC153" s="46"/>
      <c r="AD153" s="46"/>
      <c r="AE153" s="46"/>
      <c r="AF153" s="46"/>
      <c r="AG153" s="43"/>
      <c r="AH153" s="43"/>
      <c r="AI153" s="2"/>
      <c r="AJ153" s="1"/>
      <c r="AK153" s="46"/>
      <c r="AL153" s="46"/>
      <c r="AM153" s="44">
        <f t="shared" si="5"/>
        <v>0</v>
      </c>
      <c r="AN153" s="45">
        <f t="shared" si="6"/>
        <v>0</v>
      </c>
      <c r="AO153" s="46"/>
    </row>
    <row r="154" spans="1:41" ht="12.75">
      <c r="A154" s="1">
        <v>134</v>
      </c>
      <c r="B154" s="1" t="s">
        <v>54</v>
      </c>
      <c r="C154" s="1" t="s">
        <v>4</v>
      </c>
      <c r="D154" s="2">
        <v>4</v>
      </c>
      <c r="E154" s="2" t="s">
        <v>870</v>
      </c>
      <c r="F154" s="2" t="s">
        <v>901</v>
      </c>
      <c r="G154" s="22" t="s">
        <v>2437</v>
      </c>
      <c r="H154" s="1" t="s">
        <v>4166</v>
      </c>
      <c r="I154" s="1" t="s">
        <v>4127</v>
      </c>
      <c r="J154" s="63">
        <v>29104391</v>
      </c>
      <c r="K154" s="1" t="s">
        <v>2438</v>
      </c>
      <c r="L154" s="1">
        <v>3447000</v>
      </c>
      <c r="M154" s="1" t="s">
        <v>3735</v>
      </c>
      <c r="N154" s="1" t="s">
        <v>4181</v>
      </c>
      <c r="O154" s="1">
        <v>3428</v>
      </c>
      <c r="P154" s="64">
        <v>43073</v>
      </c>
      <c r="Q154" s="64">
        <v>46724</v>
      </c>
      <c r="R154" s="62" t="s">
        <v>2440</v>
      </c>
      <c r="S154" s="29" t="s">
        <v>2441</v>
      </c>
      <c r="T154" s="9" t="s">
        <v>2443</v>
      </c>
      <c r="U154" s="21" t="s">
        <v>2859</v>
      </c>
      <c r="V154" s="21" t="s">
        <v>2860</v>
      </c>
      <c r="W154" s="21">
        <v>2557</v>
      </c>
      <c r="X154" s="60">
        <v>114436.67</v>
      </c>
      <c r="Y154" s="60">
        <v>103386.48</v>
      </c>
      <c r="Z154" s="2" t="s">
        <v>3741</v>
      </c>
      <c r="AA154" s="46"/>
      <c r="AB154" s="46"/>
      <c r="AC154" s="46"/>
      <c r="AD154" s="46"/>
      <c r="AE154" s="46"/>
      <c r="AF154" s="46"/>
      <c r="AG154" s="43"/>
      <c r="AH154" s="43"/>
      <c r="AI154" s="2"/>
      <c r="AJ154" s="1"/>
      <c r="AK154" s="46"/>
      <c r="AL154" s="46"/>
      <c r="AM154" s="44">
        <f t="shared" si="5"/>
        <v>0</v>
      </c>
      <c r="AN154" s="45">
        <f t="shared" si="6"/>
        <v>0</v>
      </c>
      <c r="AO154" s="46"/>
    </row>
    <row r="155" spans="1:41" ht="12.75">
      <c r="A155" s="1">
        <v>135</v>
      </c>
      <c r="B155" s="1" t="s">
        <v>54</v>
      </c>
      <c r="C155" s="1" t="s">
        <v>4</v>
      </c>
      <c r="D155" s="1">
        <v>4</v>
      </c>
      <c r="E155" s="1" t="s">
        <v>902</v>
      </c>
      <c r="F155" s="21" t="s">
        <v>901</v>
      </c>
      <c r="G155" s="22" t="s">
        <v>2437</v>
      </c>
      <c r="H155" s="1" t="s">
        <v>4166</v>
      </c>
      <c r="I155" s="1" t="s">
        <v>4127</v>
      </c>
      <c r="J155" s="63">
        <v>29104391</v>
      </c>
      <c r="K155" s="1" t="s">
        <v>2438</v>
      </c>
      <c r="L155" s="1">
        <v>3447000</v>
      </c>
      <c r="M155" s="1" t="s">
        <v>3735</v>
      </c>
      <c r="N155" s="1" t="s">
        <v>4181</v>
      </c>
      <c r="O155" s="1">
        <v>3428</v>
      </c>
      <c r="P155" s="64">
        <v>43073</v>
      </c>
      <c r="Q155" s="64">
        <v>46724</v>
      </c>
      <c r="R155" s="62" t="s">
        <v>2440</v>
      </c>
      <c r="S155" s="29" t="s">
        <v>2441</v>
      </c>
      <c r="T155" s="9" t="s">
        <v>2443</v>
      </c>
      <c r="U155" s="21" t="s">
        <v>2861</v>
      </c>
      <c r="V155" s="21" t="s">
        <v>2862</v>
      </c>
      <c r="W155" s="21">
        <v>2557</v>
      </c>
      <c r="X155" s="60">
        <v>114338.33</v>
      </c>
      <c r="Y155" s="60">
        <v>103373.86</v>
      </c>
      <c r="Z155" s="2" t="s">
        <v>3741</v>
      </c>
      <c r="AA155" s="46"/>
      <c r="AB155" s="46"/>
      <c r="AC155" s="46"/>
      <c r="AD155" s="46"/>
      <c r="AE155" s="46"/>
      <c r="AF155" s="46"/>
      <c r="AG155" s="43"/>
      <c r="AH155" s="43"/>
      <c r="AI155" s="2"/>
      <c r="AJ155" s="1"/>
      <c r="AK155" s="46"/>
      <c r="AL155" s="46"/>
      <c r="AM155" s="44">
        <f t="shared" si="5"/>
        <v>0</v>
      </c>
      <c r="AN155" s="45">
        <f t="shared" si="6"/>
        <v>0</v>
      </c>
      <c r="AO155" s="46"/>
    </row>
    <row r="156" spans="1:41" ht="12.75">
      <c r="A156" s="1">
        <v>136</v>
      </c>
      <c r="B156" s="1" t="s">
        <v>54</v>
      </c>
      <c r="C156" s="1" t="s">
        <v>4</v>
      </c>
      <c r="D156" s="1">
        <v>4</v>
      </c>
      <c r="E156" s="1" t="s">
        <v>903</v>
      </c>
      <c r="F156" s="21" t="s">
        <v>901</v>
      </c>
      <c r="G156" s="22" t="s">
        <v>2437</v>
      </c>
      <c r="H156" s="1" t="s">
        <v>4166</v>
      </c>
      <c r="I156" s="1" t="s">
        <v>4127</v>
      </c>
      <c r="J156" s="63">
        <v>29104391</v>
      </c>
      <c r="K156" s="1" t="s">
        <v>2438</v>
      </c>
      <c r="L156" s="1">
        <v>3447000</v>
      </c>
      <c r="M156" s="1" t="s">
        <v>3735</v>
      </c>
      <c r="N156" s="1" t="s">
        <v>4181</v>
      </c>
      <c r="O156" s="1">
        <v>3428</v>
      </c>
      <c r="P156" s="64">
        <v>43073</v>
      </c>
      <c r="Q156" s="64">
        <v>46724</v>
      </c>
      <c r="R156" s="62" t="s">
        <v>2440</v>
      </c>
      <c r="S156" s="29" t="s">
        <v>2441</v>
      </c>
      <c r="T156" s="9" t="s">
        <v>2443</v>
      </c>
      <c r="U156" s="21" t="s">
        <v>2863</v>
      </c>
      <c r="V156" s="21" t="s">
        <v>2864</v>
      </c>
      <c r="W156" s="21">
        <v>2557</v>
      </c>
      <c r="X156" s="60">
        <v>114095.57</v>
      </c>
      <c r="Y156" s="60">
        <v>103368.96</v>
      </c>
      <c r="Z156" s="2" t="s">
        <v>3741</v>
      </c>
      <c r="AA156" s="46"/>
      <c r="AB156" s="46"/>
      <c r="AC156" s="46"/>
      <c r="AD156" s="46"/>
      <c r="AE156" s="46"/>
      <c r="AF156" s="46"/>
      <c r="AG156" s="43"/>
      <c r="AH156" s="43"/>
      <c r="AI156" s="2"/>
      <c r="AJ156" s="1"/>
      <c r="AK156" s="46"/>
      <c r="AL156" s="46"/>
      <c r="AM156" s="44">
        <f t="shared" si="5"/>
        <v>0</v>
      </c>
      <c r="AN156" s="45">
        <f t="shared" si="6"/>
        <v>0</v>
      </c>
      <c r="AO156" s="46"/>
    </row>
    <row r="157" spans="1:41" ht="12.75">
      <c r="A157" s="1">
        <v>137</v>
      </c>
      <c r="B157" s="1" t="s">
        <v>54</v>
      </c>
      <c r="C157" s="1" t="s">
        <v>4</v>
      </c>
      <c r="D157" s="1">
        <v>4</v>
      </c>
      <c r="E157" s="1" t="s">
        <v>904</v>
      </c>
      <c r="F157" s="21" t="s">
        <v>925</v>
      </c>
      <c r="G157" s="22" t="s">
        <v>2437</v>
      </c>
      <c r="H157" s="1" t="s">
        <v>4166</v>
      </c>
      <c r="I157" s="1" t="s">
        <v>4127</v>
      </c>
      <c r="J157" s="63">
        <v>29104391</v>
      </c>
      <c r="K157" s="1" t="s">
        <v>2438</v>
      </c>
      <c r="L157" s="1">
        <v>3447000</v>
      </c>
      <c r="M157" s="1" t="s">
        <v>3735</v>
      </c>
      <c r="N157" s="1" t="s">
        <v>4181</v>
      </c>
      <c r="O157" s="1">
        <v>3428</v>
      </c>
      <c r="P157" s="64">
        <v>43073</v>
      </c>
      <c r="Q157" s="64">
        <v>46724</v>
      </c>
      <c r="R157" s="62" t="s">
        <v>2440</v>
      </c>
      <c r="S157" s="29" t="s">
        <v>2441</v>
      </c>
      <c r="T157" s="9" t="s">
        <v>2443</v>
      </c>
      <c r="U157" s="21" t="s">
        <v>915</v>
      </c>
      <c r="V157" s="21" t="s">
        <v>2865</v>
      </c>
      <c r="W157" s="21">
        <v>2557</v>
      </c>
      <c r="X157" s="60">
        <v>113321.8</v>
      </c>
      <c r="Y157" s="60">
        <v>103356.74</v>
      </c>
      <c r="Z157" s="2" t="s">
        <v>3741</v>
      </c>
      <c r="AA157" s="46"/>
      <c r="AB157" s="46"/>
      <c r="AC157" s="46"/>
      <c r="AD157" s="46"/>
      <c r="AE157" s="46"/>
      <c r="AF157" s="46"/>
      <c r="AG157" s="43"/>
      <c r="AH157" s="43"/>
      <c r="AI157" s="2"/>
      <c r="AJ157" s="1"/>
      <c r="AK157" s="46"/>
      <c r="AL157" s="46"/>
      <c r="AM157" s="44">
        <f t="shared" si="5"/>
        <v>0</v>
      </c>
      <c r="AN157" s="45">
        <f t="shared" si="6"/>
        <v>0</v>
      </c>
      <c r="AO157" s="46"/>
    </row>
    <row r="158" spans="1:41" ht="12.75">
      <c r="A158" s="1">
        <v>138</v>
      </c>
      <c r="B158" s="1" t="s">
        <v>54</v>
      </c>
      <c r="C158" s="1" t="s">
        <v>4</v>
      </c>
      <c r="D158" s="1">
        <v>4</v>
      </c>
      <c r="E158" s="1" t="s">
        <v>905</v>
      </c>
      <c r="F158" s="21" t="s">
        <v>926</v>
      </c>
      <c r="G158" s="22" t="s">
        <v>2437</v>
      </c>
      <c r="H158" s="1" t="s">
        <v>4166</v>
      </c>
      <c r="I158" s="1" t="s">
        <v>4127</v>
      </c>
      <c r="J158" s="63">
        <v>29104391</v>
      </c>
      <c r="K158" s="1" t="s">
        <v>2438</v>
      </c>
      <c r="L158" s="1">
        <v>3447000</v>
      </c>
      <c r="M158" s="1" t="s">
        <v>3735</v>
      </c>
      <c r="N158" s="1" t="s">
        <v>4181</v>
      </c>
      <c r="O158" s="1">
        <v>3428</v>
      </c>
      <c r="P158" s="64">
        <v>43073</v>
      </c>
      <c r="Q158" s="64">
        <v>46724</v>
      </c>
      <c r="R158" s="62" t="s">
        <v>2440</v>
      </c>
      <c r="S158" s="29" t="s">
        <v>2441</v>
      </c>
      <c r="T158" s="9" t="s">
        <v>2443</v>
      </c>
      <c r="U158" s="21" t="s">
        <v>916</v>
      </c>
      <c r="V158" s="21" t="s">
        <v>2866</v>
      </c>
      <c r="W158" s="21">
        <v>2559</v>
      </c>
      <c r="X158" s="60">
        <v>113172.76</v>
      </c>
      <c r="Y158" s="60">
        <v>103333.63</v>
      </c>
      <c r="Z158" s="2" t="s">
        <v>3741</v>
      </c>
      <c r="AA158" s="46"/>
      <c r="AB158" s="46"/>
      <c r="AC158" s="46"/>
      <c r="AD158" s="46"/>
      <c r="AE158" s="46"/>
      <c r="AF158" s="46"/>
      <c r="AG158" s="43"/>
      <c r="AH158" s="43"/>
      <c r="AI158" s="2"/>
      <c r="AJ158" s="1"/>
      <c r="AK158" s="46"/>
      <c r="AL158" s="46"/>
      <c r="AM158" s="44">
        <f t="shared" si="5"/>
        <v>0</v>
      </c>
      <c r="AN158" s="45">
        <f t="shared" si="6"/>
        <v>0</v>
      </c>
      <c r="AO158" s="46"/>
    </row>
    <row r="159" spans="1:41" ht="77.25" customHeight="1">
      <c r="A159" s="1">
        <v>139</v>
      </c>
      <c r="B159" s="1" t="s">
        <v>54</v>
      </c>
      <c r="C159" s="1" t="s">
        <v>4</v>
      </c>
      <c r="D159" s="1">
        <v>4</v>
      </c>
      <c r="E159" s="1" t="s">
        <v>906</v>
      </c>
      <c r="F159" s="21" t="s">
        <v>926</v>
      </c>
      <c r="G159" s="22" t="s">
        <v>2437</v>
      </c>
      <c r="H159" s="1" t="s">
        <v>4166</v>
      </c>
      <c r="I159" s="1" t="s">
        <v>4127</v>
      </c>
      <c r="J159" s="63">
        <v>29104391</v>
      </c>
      <c r="K159" s="1" t="s">
        <v>2438</v>
      </c>
      <c r="L159" s="1">
        <v>3447000</v>
      </c>
      <c r="M159" s="1" t="s">
        <v>3735</v>
      </c>
      <c r="N159" s="1" t="s">
        <v>4181</v>
      </c>
      <c r="O159" s="1">
        <v>3428</v>
      </c>
      <c r="P159" s="64">
        <v>43073</v>
      </c>
      <c r="Q159" s="64">
        <v>46724</v>
      </c>
      <c r="R159" s="62" t="s">
        <v>2440</v>
      </c>
      <c r="S159" s="22" t="s">
        <v>2442</v>
      </c>
      <c r="T159" s="9" t="s">
        <v>2443</v>
      </c>
      <c r="U159" s="21" t="s">
        <v>917</v>
      </c>
      <c r="V159" s="21" t="s">
        <v>2867</v>
      </c>
      <c r="W159" s="21">
        <v>2559</v>
      </c>
      <c r="X159" s="60">
        <v>113159.85</v>
      </c>
      <c r="Y159" s="60">
        <v>103333.33</v>
      </c>
      <c r="Z159" s="2" t="s">
        <v>4038</v>
      </c>
      <c r="AA159" s="67">
        <v>43423</v>
      </c>
      <c r="AB159" s="50">
        <v>0.6145833333333334</v>
      </c>
      <c r="AC159" s="46"/>
      <c r="AD159" s="46"/>
      <c r="AE159" s="46"/>
      <c r="AF159" s="46"/>
      <c r="AG159" s="43"/>
      <c r="AH159" s="43"/>
      <c r="AI159" s="2"/>
      <c r="AJ159" s="1"/>
      <c r="AK159" s="46"/>
      <c r="AL159" s="46"/>
      <c r="AM159" s="117">
        <v>17.8787138572047</v>
      </c>
      <c r="AN159" s="118">
        <v>17.535435901694452</v>
      </c>
      <c r="AO159" s="46"/>
    </row>
    <row r="160" spans="1:41" ht="19.5" customHeight="1">
      <c r="A160" s="1">
        <v>140</v>
      </c>
      <c r="B160" s="1" t="s">
        <v>54</v>
      </c>
      <c r="C160" s="1" t="s">
        <v>4</v>
      </c>
      <c r="D160" s="1">
        <v>4</v>
      </c>
      <c r="E160" s="1" t="s">
        <v>907</v>
      </c>
      <c r="F160" s="21" t="s">
        <v>927</v>
      </c>
      <c r="G160" s="22" t="s">
        <v>2437</v>
      </c>
      <c r="H160" s="1" t="s">
        <v>4166</v>
      </c>
      <c r="I160" s="1" t="s">
        <v>4127</v>
      </c>
      <c r="J160" s="63">
        <v>29104391</v>
      </c>
      <c r="K160" s="1" t="s">
        <v>2438</v>
      </c>
      <c r="L160" s="1">
        <v>3447000</v>
      </c>
      <c r="M160" s="1" t="s">
        <v>3735</v>
      </c>
      <c r="N160" s="1" t="s">
        <v>4181</v>
      </c>
      <c r="O160" s="1">
        <v>3428</v>
      </c>
      <c r="P160" s="64">
        <v>43073</v>
      </c>
      <c r="Q160" s="64">
        <v>46724</v>
      </c>
      <c r="R160" s="62" t="s">
        <v>2440</v>
      </c>
      <c r="S160" s="22" t="s">
        <v>2442</v>
      </c>
      <c r="T160" s="9" t="s">
        <v>2443</v>
      </c>
      <c r="U160" s="1" t="s">
        <v>918</v>
      </c>
      <c r="V160" s="1" t="s">
        <v>2868</v>
      </c>
      <c r="W160" s="1">
        <v>2560</v>
      </c>
      <c r="X160" s="60">
        <v>112971.2</v>
      </c>
      <c r="Y160" s="60">
        <v>103307.04</v>
      </c>
      <c r="Z160" s="2" t="s">
        <v>3741</v>
      </c>
      <c r="AA160" s="46"/>
      <c r="AB160" s="46"/>
      <c r="AC160" s="46"/>
      <c r="AD160" s="46"/>
      <c r="AE160" s="46"/>
      <c r="AF160" s="46"/>
      <c r="AG160" s="43"/>
      <c r="AH160" s="43"/>
      <c r="AI160" s="2"/>
      <c r="AJ160" s="1"/>
      <c r="AK160" s="46"/>
      <c r="AL160" s="46"/>
      <c r="AM160" s="44">
        <f t="shared" si="5"/>
        <v>0</v>
      </c>
      <c r="AN160" s="45">
        <f t="shared" si="6"/>
        <v>0</v>
      </c>
      <c r="AO160" s="46"/>
    </row>
    <row r="161" spans="1:41" ht="12.75">
      <c r="A161" s="1">
        <v>141</v>
      </c>
      <c r="B161" s="1" t="s">
        <v>54</v>
      </c>
      <c r="C161" s="1" t="s">
        <v>4</v>
      </c>
      <c r="D161" s="1">
        <v>4</v>
      </c>
      <c r="E161" s="1" t="s">
        <v>908</v>
      </c>
      <c r="F161" s="21" t="s">
        <v>928</v>
      </c>
      <c r="G161" s="22" t="s">
        <v>2437</v>
      </c>
      <c r="H161" s="1" t="s">
        <v>4166</v>
      </c>
      <c r="I161" s="1" t="s">
        <v>4127</v>
      </c>
      <c r="J161" s="63">
        <v>29104391</v>
      </c>
      <c r="K161" s="1" t="s">
        <v>2438</v>
      </c>
      <c r="L161" s="1">
        <v>3447000</v>
      </c>
      <c r="M161" s="1" t="s">
        <v>3735</v>
      </c>
      <c r="N161" s="1" t="s">
        <v>4181</v>
      </c>
      <c r="O161" s="1">
        <v>3428</v>
      </c>
      <c r="P161" s="64">
        <v>43073</v>
      </c>
      <c r="Q161" s="64">
        <v>46724</v>
      </c>
      <c r="R161" s="62" t="s">
        <v>2440</v>
      </c>
      <c r="S161" s="29" t="s">
        <v>2441</v>
      </c>
      <c r="T161" s="9" t="s">
        <v>2443</v>
      </c>
      <c r="U161" s="1" t="s">
        <v>919</v>
      </c>
      <c r="V161" s="1" t="s">
        <v>2869</v>
      </c>
      <c r="W161" s="1">
        <v>2560</v>
      </c>
      <c r="X161" s="60">
        <v>112895.71</v>
      </c>
      <c r="Y161" s="60">
        <v>103283.72</v>
      </c>
      <c r="Z161" s="2" t="s">
        <v>3741</v>
      </c>
      <c r="AA161" s="46"/>
      <c r="AB161" s="46"/>
      <c r="AC161" s="46"/>
      <c r="AD161" s="46"/>
      <c r="AE161" s="46"/>
      <c r="AF161" s="46"/>
      <c r="AG161" s="43"/>
      <c r="AH161" s="43"/>
      <c r="AI161" s="2"/>
      <c r="AJ161" s="1"/>
      <c r="AK161" s="46"/>
      <c r="AL161" s="46"/>
      <c r="AM161" s="44">
        <f t="shared" si="5"/>
        <v>0</v>
      </c>
      <c r="AN161" s="45">
        <f t="shared" si="6"/>
        <v>0</v>
      </c>
      <c r="AO161" s="46"/>
    </row>
    <row r="162" spans="1:41" ht="81.75" customHeight="1">
      <c r="A162" s="1">
        <v>142</v>
      </c>
      <c r="B162" s="1" t="s">
        <v>54</v>
      </c>
      <c r="C162" s="1" t="s">
        <v>4</v>
      </c>
      <c r="D162" s="1">
        <v>4</v>
      </c>
      <c r="E162" s="1" t="s">
        <v>909</v>
      </c>
      <c r="F162" s="21" t="s">
        <v>928</v>
      </c>
      <c r="G162" s="22" t="s">
        <v>2437</v>
      </c>
      <c r="H162" s="1" t="s">
        <v>4166</v>
      </c>
      <c r="I162" s="1" t="s">
        <v>4127</v>
      </c>
      <c r="J162" s="63">
        <v>29104391</v>
      </c>
      <c r="K162" s="1" t="s">
        <v>2438</v>
      </c>
      <c r="L162" s="1">
        <v>3447000</v>
      </c>
      <c r="M162" s="1" t="s">
        <v>3735</v>
      </c>
      <c r="N162" s="1" t="s">
        <v>4181</v>
      </c>
      <c r="O162" s="1">
        <v>3428</v>
      </c>
      <c r="P162" s="64">
        <v>43073</v>
      </c>
      <c r="Q162" s="64">
        <v>46724</v>
      </c>
      <c r="R162" s="62" t="s">
        <v>2440</v>
      </c>
      <c r="S162" s="22" t="s">
        <v>2442</v>
      </c>
      <c r="T162" s="9" t="s">
        <v>2443</v>
      </c>
      <c r="U162" s="21" t="s">
        <v>920</v>
      </c>
      <c r="V162" s="21" t="s">
        <v>2870</v>
      </c>
      <c r="W162" s="1">
        <v>2560</v>
      </c>
      <c r="X162" s="60">
        <v>112889.21</v>
      </c>
      <c r="Y162" s="60">
        <v>103296.23</v>
      </c>
      <c r="Z162" s="2" t="s">
        <v>4039</v>
      </c>
      <c r="AA162" s="67">
        <v>43796</v>
      </c>
      <c r="AB162" s="50">
        <v>0.40347222222222223</v>
      </c>
      <c r="AC162" s="46"/>
      <c r="AD162" s="46"/>
      <c r="AE162" s="46"/>
      <c r="AF162" s="46"/>
      <c r="AG162" s="43"/>
      <c r="AH162" s="43"/>
      <c r="AI162" s="2"/>
      <c r="AJ162" s="1"/>
      <c r="AK162" s="46"/>
      <c r="AL162" s="46"/>
      <c r="AM162" s="117">
        <v>3845.1223351850012</v>
      </c>
      <c r="AN162" s="118">
        <v>46533.68016667714</v>
      </c>
      <c r="AO162" s="46"/>
    </row>
    <row r="163" spans="1:41" ht="12.75">
      <c r="A163" s="1">
        <v>143</v>
      </c>
      <c r="B163" s="1" t="s">
        <v>54</v>
      </c>
      <c r="C163" s="1" t="s">
        <v>4</v>
      </c>
      <c r="D163" s="1">
        <v>4</v>
      </c>
      <c r="E163" s="1" t="s">
        <v>910</v>
      </c>
      <c r="F163" s="21" t="s">
        <v>929</v>
      </c>
      <c r="G163" s="22" t="s">
        <v>2437</v>
      </c>
      <c r="H163" s="1" t="s">
        <v>4166</v>
      </c>
      <c r="I163" s="1" t="s">
        <v>4127</v>
      </c>
      <c r="J163" s="63">
        <v>29104391</v>
      </c>
      <c r="K163" s="1" t="s">
        <v>2438</v>
      </c>
      <c r="L163" s="1">
        <v>3447000</v>
      </c>
      <c r="M163" s="1" t="s">
        <v>3735</v>
      </c>
      <c r="N163" s="1" t="s">
        <v>4181</v>
      </c>
      <c r="O163" s="1">
        <v>3428</v>
      </c>
      <c r="P163" s="64">
        <v>43073</v>
      </c>
      <c r="Q163" s="64">
        <v>46724</v>
      </c>
      <c r="R163" s="62" t="s">
        <v>2440</v>
      </c>
      <c r="S163" s="22" t="s">
        <v>2442</v>
      </c>
      <c r="T163" s="9" t="s">
        <v>2443</v>
      </c>
      <c r="U163" s="1" t="s">
        <v>921</v>
      </c>
      <c r="V163" s="1" t="s">
        <v>2871</v>
      </c>
      <c r="W163" s="1">
        <v>2561</v>
      </c>
      <c r="X163" s="60">
        <v>112824.34</v>
      </c>
      <c r="Y163" s="60">
        <v>103286.84</v>
      </c>
      <c r="Z163" s="2" t="s">
        <v>3741</v>
      </c>
      <c r="AA163" s="46"/>
      <c r="AB163" s="46"/>
      <c r="AC163" s="46"/>
      <c r="AD163" s="46"/>
      <c r="AE163" s="46"/>
      <c r="AF163" s="46"/>
      <c r="AG163" s="43"/>
      <c r="AH163" s="43"/>
      <c r="AI163" s="2"/>
      <c r="AJ163" s="1"/>
      <c r="AK163" s="46"/>
      <c r="AL163" s="46"/>
      <c r="AM163" s="44">
        <f t="shared" si="5"/>
        <v>0</v>
      </c>
      <c r="AN163" s="45">
        <f t="shared" si="6"/>
        <v>0</v>
      </c>
      <c r="AO163" s="46"/>
    </row>
    <row r="164" spans="1:41" ht="12.75">
      <c r="A164" s="1">
        <v>144</v>
      </c>
      <c r="B164" s="1" t="s">
        <v>54</v>
      </c>
      <c r="C164" s="1" t="s">
        <v>4</v>
      </c>
      <c r="D164" s="1">
        <v>4</v>
      </c>
      <c r="E164" s="1" t="s">
        <v>911</v>
      </c>
      <c r="F164" s="21" t="s">
        <v>930</v>
      </c>
      <c r="G164" s="22" t="s">
        <v>2437</v>
      </c>
      <c r="H164" s="1" t="s">
        <v>4166</v>
      </c>
      <c r="I164" s="1" t="s">
        <v>4127</v>
      </c>
      <c r="J164" s="63">
        <v>29104391</v>
      </c>
      <c r="K164" s="1" t="s">
        <v>2438</v>
      </c>
      <c r="L164" s="1">
        <v>3447000</v>
      </c>
      <c r="M164" s="1" t="s">
        <v>3735</v>
      </c>
      <c r="N164" s="1" t="s">
        <v>4181</v>
      </c>
      <c r="O164" s="1">
        <v>3428</v>
      </c>
      <c r="P164" s="64">
        <v>43073</v>
      </c>
      <c r="Q164" s="64">
        <v>46724</v>
      </c>
      <c r="R164" s="62" t="s">
        <v>2440</v>
      </c>
      <c r="S164" s="22" t="s">
        <v>2442</v>
      </c>
      <c r="T164" s="9" t="s">
        <v>2443</v>
      </c>
      <c r="U164" s="21" t="s">
        <v>2872</v>
      </c>
      <c r="V164" s="21" t="s">
        <v>2873</v>
      </c>
      <c r="W164" s="1">
        <v>2561</v>
      </c>
      <c r="X164" s="60">
        <v>112743.15</v>
      </c>
      <c r="Y164" s="60">
        <v>103269.88</v>
      </c>
      <c r="Z164" s="2" t="s">
        <v>3741</v>
      </c>
      <c r="AA164" s="46"/>
      <c r="AB164" s="46"/>
      <c r="AC164" s="46"/>
      <c r="AD164" s="46"/>
      <c r="AE164" s="46"/>
      <c r="AF164" s="46"/>
      <c r="AG164" s="43"/>
      <c r="AH164" s="43"/>
      <c r="AI164" s="2"/>
      <c r="AJ164" s="1"/>
      <c r="AK164" s="46"/>
      <c r="AL164" s="46"/>
      <c r="AM164" s="44">
        <f t="shared" si="5"/>
        <v>0</v>
      </c>
      <c r="AN164" s="45">
        <f t="shared" si="6"/>
        <v>0</v>
      </c>
      <c r="AO164" s="46"/>
    </row>
    <row r="165" spans="1:41" ht="82.5" customHeight="1">
      <c r="A165" s="1">
        <v>145</v>
      </c>
      <c r="B165" s="1" t="s">
        <v>54</v>
      </c>
      <c r="C165" s="1" t="s">
        <v>4</v>
      </c>
      <c r="D165" s="1">
        <v>4</v>
      </c>
      <c r="E165" s="1" t="s">
        <v>912</v>
      </c>
      <c r="F165" s="21" t="s">
        <v>931</v>
      </c>
      <c r="G165" s="22" t="s">
        <v>2437</v>
      </c>
      <c r="H165" s="1" t="s">
        <v>4166</v>
      </c>
      <c r="I165" s="1" t="s">
        <v>4127</v>
      </c>
      <c r="J165" s="63">
        <v>29104391</v>
      </c>
      <c r="K165" s="1" t="s">
        <v>2438</v>
      </c>
      <c r="L165" s="1">
        <v>3447000</v>
      </c>
      <c r="M165" s="1" t="s">
        <v>3735</v>
      </c>
      <c r="N165" s="1" t="s">
        <v>4181</v>
      </c>
      <c r="O165" s="1">
        <v>3428</v>
      </c>
      <c r="P165" s="64">
        <v>43073</v>
      </c>
      <c r="Q165" s="64">
        <v>46724</v>
      </c>
      <c r="R165" s="62" t="s">
        <v>2440</v>
      </c>
      <c r="S165" s="29" t="s">
        <v>2441</v>
      </c>
      <c r="T165" s="9" t="s">
        <v>2443</v>
      </c>
      <c r="U165" s="21" t="s">
        <v>922</v>
      </c>
      <c r="V165" s="21" t="s">
        <v>2874</v>
      </c>
      <c r="W165" s="1">
        <v>2561</v>
      </c>
      <c r="X165" s="60">
        <v>112678.08</v>
      </c>
      <c r="Y165" s="60">
        <v>103252.85</v>
      </c>
      <c r="Z165" s="2" t="s">
        <v>4054</v>
      </c>
      <c r="AA165" s="83">
        <v>43727</v>
      </c>
      <c r="AB165" s="13" t="s">
        <v>2408</v>
      </c>
      <c r="AC165" s="13">
        <v>109</v>
      </c>
      <c r="AD165" s="13">
        <v>66</v>
      </c>
      <c r="AE165" s="13">
        <v>0.24</v>
      </c>
      <c r="AF165" s="13">
        <v>24</v>
      </c>
      <c r="AG165" s="43">
        <f>AE165*AC165*AF165*0.0036</f>
        <v>2.260224</v>
      </c>
      <c r="AH165" s="43">
        <f>AE165*AD165*AF165*0.0036</f>
        <v>1.3685759999999998</v>
      </c>
      <c r="AI165" s="2">
        <v>30</v>
      </c>
      <c r="AJ165" s="1">
        <v>12</v>
      </c>
      <c r="AK165" s="13">
        <v>0.55</v>
      </c>
      <c r="AL165" s="13">
        <v>0.59</v>
      </c>
      <c r="AM165" s="117">
        <f>AG165*AI165*AJ165*AK165</f>
        <v>447.5243520000001</v>
      </c>
      <c r="AN165" s="118">
        <f>AH165*AI165*AJ165*AL165</f>
        <v>290.6855423999999</v>
      </c>
      <c r="AO165" s="13" t="s">
        <v>2413</v>
      </c>
    </row>
    <row r="166" spans="1:41" ht="12.75">
      <c r="A166" s="1">
        <v>146</v>
      </c>
      <c r="B166" s="1" t="s">
        <v>54</v>
      </c>
      <c r="C166" s="1" t="s">
        <v>4</v>
      </c>
      <c r="D166" s="1">
        <v>4</v>
      </c>
      <c r="E166" s="1" t="s">
        <v>913</v>
      </c>
      <c r="F166" s="21" t="s">
        <v>932</v>
      </c>
      <c r="G166" s="22" t="s">
        <v>2437</v>
      </c>
      <c r="H166" s="1" t="s">
        <v>4166</v>
      </c>
      <c r="I166" s="1" t="s">
        <v>4127</v>
      </c>
      <c r="J166" s="63">
        <v>29104391</v>
      </c>
      <c r="K166" s="1" t="s">
        <v>2438</v>
      </c>
      <c r="L166" s="1">
        <v>3447000</v>
      </c>
      <c r="M166" s="1" t="s">
        <v>3735</v>
      </c>
      <c r="N166" s="1" t="s">
        <v>4181</v>
      </c>
      <c r="O166" s="1">
        <v>3428</v>
      </c>
      <c r="P166" s="64">
        <v>43073</v>
      </c>
      <c r="Q166" s="64">
        <v>46724</v>
      </c>
      <c r="R166" s="62" t="s">
        <v>2440</v>
      </c>
      <c r="S166" s="22" t="s">
        <v>2442</v>
      </c>
      <c r="T166" s="9" t="s">
        <v>2443</v>
      </c>
      <c r="U166" s="21" t="s">
        <v>923</v>
      </c>
      <c r="V166" s="21" t="s">
        <v>2875</v>
      </c>
      <c r="W166" s="21">
        <v>2559</v>
      </c>
      <c r="X166" s="60">
        <v>112543.1</v>
      </c>
      <c r="Y166" s="60">
        <v>103244.93</v>
      </c>
      <c r="Z166" s="2" t="s">
        <v>3741</v>
      </c>
      <c r="AA166" s="46"/>
      <c r="AB166" s="46"/>
      <c r="AC166" s="46"/>
      <c r="AD166" s="46"/>
      <c r="AE166" s="46"/>
      <c r="AF166" s="46"/>
      <c r="AG166" s="43"/>
      <c r="AH166" s="43"/>
      <c r="AI166" s="2"/>
      <c r="AJ166" s="1"/>
      <c r="AK166" s="46"/>
      <c r="AL166" s="46"/>
      <c r="AM166" s="44">
        <f t="shared" si="5"/>
        <v>0</v>
      </c>
      <c r="AN166" s="45">
        <f t="shared" si="6"/>
        <v>0</v>
      </c>
      <c r="AO166" s="46"/>
    </row>
    <row r="167" spans="1:41" ht="12.75">
      <c r="A167" s="1">
        <v>147</v>
      </c>
      <c r="B167" s="1" t="s">
        <v>54</v>
      </c>
      <c r="C167" s="1" t="s">
        <v>4</v>
      </c>
      <c r="D167" s="1">
        <v>4</v>
      </c>
      <c r="E167" s="1" t="s">
        <v>914</v>
      </c>
      <c r="F167" s="21" t="s">
        <v>933</v>
      </c>
      <c r="G167" s="22" t="s">
        <v>2437</v>
      </c>
      <c r="H167" s="1" t="s">
        <v>4166</v>
      </c>
      <c r="I167" s="1" t="s">
        <v>4127</v>
      </c>
      <c r="J167" s="63">
        <v>29104391</v>
      </c>
      <c r="K167" s="1" t="s">
        <v>2438</v>
      </c>
      <c r="L167" s="1">
        <v>3447000</v>
      </c>
      <c r="M167" s="1" t="s">
        <v>3735</v>
      </c>
      <c r="N167" s="1" t="s">
        <v>4181</v>
      </c>
      <c r="O167" s="1">
        <v>3428</v>
      </c>
      <c r="P167" s="64">
        <v>43073</v>
      </c>
      <c r="Q167" s="64">
        <v>46724</v>
      </c>
      <c r="R167" s="62" t="s">
        <v>2440</v>
      </c>
      <c r="S167" s="22" t="s">
        <v>2442</v>
      </c>
      <c r="T167" s="9" t="s">
        <v>2443</v>
      </c>
      <c r="U167" s="1" t="s">
        <v>924</v>
      </c>
      <c r="V167" s="1" t="s">
        <v>2876</v>
      </c>
      <c r="W167" s="1">
        <v>2556</v>
      </c>
      <c r="X167" s="60">
        <v>112306.76</v>
      </c>
      <c r="Y167" s="60">
        <v>103223.67</v>
      </c>
      <c r="Z167" s="2" t="s">
        <v>3741</v>
      </c>
      <c r="AA167" s="46"/>
      <c r="AB167" s="46"/>
      <c r="AC167" s="46"/>
      <c r="AD167" s="46"/>
      <c r="AE167" s="46"/>
      <c r="AF167" s="46"/>
      <c r="AG167" s="43"/>
      <c r="AH167" s="43"/>
      <c r="AI167" s="2"/>
      <c r="AJ167" s="1"/>
      <c r="AK167" s="46"/>
      <c r="AL167" s="46"/>
      <c r="AM167" s="44">
        <f t="shared" si="5"/>
        <v>0</v>
      </c>
      <c r="AN167" s="45">
        <f t="shared" si="6"/>
        <v>0</v>
      </c>
      <c r="AO167" s="46"/>
    </row>
    <row r="168" spans="1:41" ht="12.75">
      <c r="A168" s="215" t="s">
        <v>2414</v>
      </c>
      <c r="B168" s="216"/>
      <c r="C168" s="216"/>
      <c r="D168" s="216"/>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119">
        <f>AM152+AM159+AM162+AM165</f>
        <v>4310.525401042206</v>
      </c>
      <c r="AN168" s="119">
        <f>AN152+AN159+AN162+AN165</f>
        <v>46841.90114497884</v>
      </c>
      <c r="AO168" s="46"/>
    </row>
    <row r="169" spans="1:43" ht="12.75">
      <c r="A169" s="213" t="s">
        <v>2415</v>
      </c>
      <c r="B169" s="214"/>
      <c r="C169" s="214"/>
      <c r="D169" s="214"/>
      <c r="E169" s="214"/>
      <c r="F169" s="214"/>
      <c r="G169" s="214"/>
      <c r="H169" s="214"/>
      <c r="I169" s="214"/>
      <c r="J169" s="214"/>
      <c r="K169" s="214"/>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c r="AG169" s="214"/>
      <c r="AH169" s="214"/>
      <c r="AI169" s="214"/>
      <c r="AJ169" s="214"/>
      <c r="AK169" s="214"/>
      <c r="AL169" s="214"/>
      <c r="AM169" s="73">
        <f>SUM(AM151:AM167)</f>
        <v>4310.525401042206</v>
      </c>
      <c r="AN169" s="73">
        <f>SUM(AN151:AN167)</f>
        <v>46841.90114497884</v>
      </c>
      <c r="AO169" s="46"/>
      <c r="AP169" s="97"/>
      <c r="AQ169" s="97"/>
    </row>
    <row r="170" spans="1:41" ht="12.75">
      <c r="A170" s="1">
        <v>148</v>
      </c>
      <c r="B170" s="1" t="s">
        <v>882</v>
      </c>
      <c r="C170" s="1" t="s">
        <v>4</v>
      </c>
      <c r="D170" s="1">
        <v>4</v>
      </c>
      <c r="E170" s="1" t="s">
        <v>872</v>
      </c>
      <c r="F170" s="21" t="s">
        <v>892</v>
      </c>
      <c r="G170" s="22" t="s">
        <v>2437</v>
      </c>
      <c r="H170" s="1" t="s">
        <v>4166</v>
      </c>
      <c r="I170" s="1" t="s">
        <v>4127</v>
      </c>
      <c r="J170" s="63">
        <v>29104391</v>
      </c>
      <c r="K170" s="1" t="s">
        <v>2438</v>
      </c>
      <c r="L170" s="1">
        <v>3447000</v>
      </c>
      <c r="M170" s="1" t="s">
        <v>3735</v>
      </c>
      <c r="N170" s="1" t="s">
        <v>4181</v>
      </c>
      <c r="O170" s="1">
        <v>3428</v>
      </c>
      <c r="P170" s="64">
        <v>43073</v>
      </c>
      <c r="Q170" s="64">
        <v>46724</v>
      </c>
      <c r="R170" s="62" t="s">
        <v>2440</v>
      </c>
      <c r="S170" s="22" t="s">
        <v>2442</v>
      </c>
      <c r="T170" s="9" t="s">
        <v>2443</v>
      </c>
      <c r="U170" s="1" t="s">
        <v>883</v>
      </c>
      <c r="V170" s="1" t="s">
        <v>2877</v>
      </c>
      <c r="W170" s="1">
        <v>2606</v>
      </c>
      <c r="X170" s="60">
        <v>111799.19</v>
      </c>
      <c r="Y170" s="60">
        <v>105582.95</v>
      </c>
      <c r="Z170" s="2" t="s">
        <v>3741</v>
      </c>
      <c r="AA170" s="46"/>
      <c r="AB170" s="46"/>
      <c r="AC170" s="46"/>
      <c r="AD170" s="46"/>
      <c r="AE170" s="46"/>
      <c r="AF170" s="46"/>
      <c r="AG170" s="43"/>
      <c r="AH170" s="43"/>
      <c r="AI170" s="2"/>
      <c r="AJ170" s="1"/>
      <c r="AK170" s="46"/>
      <c r="AL170" s="46"/>
      <c r="AM170" s="44">
        <f t="shared" si="5"/>
        <v>0</v>
      </c>
      <c r="AN170" s="45">
        <f t="shared" si="6"/>
        <v>0</v>
      </c>
      <c r="AO170" s="46"/>
    </row>
    <row r="171" spans="1:41" ht="12.75">
      <c r="A171" s="1">
        <v>149</v>
      </c>
      <c r="B171" s="1" t="s">
        <v>882</v>
      </c>
      <c r="C171" s="1" t="s">
        <v>4</v>
      </c>
      <c r="D171" s="1">
        <v>4</v>
      </c>
      <c r="E171" s="1" t="s">
        <v>873</v>
      </c>
      <c r="F171" s="21" t="s">
        <v>893</v>
      </c>
      <c r="G171" s="22" t="s">
        <v>2437</v>
      </c>
      <c r="H171" s="1" t="s">
        <v>4166</v>
      </c>
      <c r="I171" s="1" t="s">
        <v>4127</v>
      </c>
      <c r="J171" s="63">
        <v>29104391</v>
      </c>
      <c r="K171" s="1" t="s">
        <v>2438</v>
      </c>
      <c r="L171" s="1">
        <v>3447000</v>
      </c>
      <c r="M171" s="1" t="s">
        <v>3735</v>
      </c>
      <c r="N171" s="1" t="s">
        <v>4181</v>
      </c>
      <c r="O171" s="1">
        <v>3428</v>
      </c>
      <c r="P171" s="64">
        <v>43073</v>
      </c>
      <c r="Q171" s="64">
        <v>46724</v>
      </c>
      <c r="R171" s="62" t="s">
        <v>2440</v>
      </c>
      <c r="S171" s="29" t="s">
        <v>2441</v>
      </c>
      <c r="T171" s="21" t="s">
        <v>2444</v>
      </c>
      <c r="U171" s="1" t="s">
        <v>884</v>
      </c>
      <c r="V171" s="1" t="s">
        <v>2878</v>
      </c>
      <c r="W171" s="1">
        <v>2594</v>
      </c>
      <c r="X171" s="60">
        <v>111722.97</v>
      </c>
      <c r="Y171" s="60">
        <v>105532.4</v>
      </c>
      <c r="Z171" s="2" t="s">
        <v>3741</v>
      </c>
      <c r="AA171" s="46"/>
      <c r="AB171" s="46"/>
      <c r="AC171" s="46"/>
      <c r="AD171" s="46"/>
      <c r="AE171" s="46"/>
      <c r="AF171" s="46"/>
      <c r="AG171" s="43"/>
      <c r="AH171" s="43"/>
      <c r="AI171" s="2"/>
      <c r="AJ171" s="1"/>
      <c r="AK171" s="46"/>
      <c r="AL171" s="46"/>
      <c r="AM171" s="44">
        <f t="shared" si="5"/>
        <v>0</v>
      </c>
      <c r="AN171" s="45">
        <f t="shared" si="6"/>
        <v>0</v>
      </c>
      <c r="AO171" s="46"/>
    </row>
    <row r="172" spans="1:41" ht="12.75">
      <c r="A172" s="1">
        <v>150</v>
      </c>
      <c r="B172" s="1" t="s">
        <v>882</v>
      </c>
      <c r="C172" s="1" t="s">
        <v>4</v>
      </c>
      <c r="D172" s="1">
        <v>4</v>
      </c>
      <c r="E172" s="1" t="s">
        <v>874</v>
      </c>
      <c r="F172" s="21" t="s">
        <v>894</v>
      </c>
      <c r="G172" s="22" t="s">
        <v>2437</v>
      </c>
      <c r="H172" s="1" t="s">
        <v>4166</v>
      </c>
      <c r="I172" s="1" t="s">
        <v>4127</v>
      </c>
      <c r="J172" s="63">
        <v>29104391</v>
      </c>
      <c r="K172" s="1" t="s">
        <v>2438</v>
      </c>
      <c r="L172" s="1">
        <v>3447000</v>
      </c>
      <c r="M172" s="1" t="s">
        <v>3735</v>
      </c>
      <c r="N172" s="1" t="s">
        <v>4181</v>
      </c>
      <c r="O172" s="1">
        <v>3428</v>
      </c>
      <c r="P172" s="64">
        <v>43073</v>
      </c>
      <c r="Q172" s="64">
        <v>46724</v>
      </c>
      <c r="R172" s="62" t="s">
        <v>2440</v>
      </c>
      <c r="S172" s="29" t="s">
        <v>2441</v>
      </c>
      <c r="T172" s="21" t="s">
        <v>2480</v>
      </c>
      <c r="U172" s="1" t="s">
        <v>885</v>
      </c>
      <c r="V172" s="1" t="s">
        <v>2879</v>
      </c>
      <c r="W172" s="1">
        <v>2577</v>
      </c>
      <c r="X172" s="60">
        <v>111720.49</v>
      </c>
      <c r="Y172" s="60">
        <v>105377.32</v>
      </c>
      <c r="Z172" s="2" t="s">
        <v>3741</v>
      </c>
      <c r="AA172" s="46"/>
      <c r="AB172" s="46"/>
      <c r="AC172" s="46"/>
      <c r="AD172" s="46"/>
      <c r="AE172" s="46"/>
      <c r="AF172" s="46"/>
      <c r="AG172" s="43"/>
      <c r="AH172" s="43"/>
      <c r="AI172" s="2"/>
      <c r="AJ172" s="1"/>
      <c r="AK172" s="46"/>
      <c r="AL172" s="46"/>
      <c r="AM172" s="44">
        <f t="shared" si="5"/>
        <v>0</v>
      </c>
      <c r="AN172" s="45">
        <f t="shared" si="6"/>
        <v>0</v>
      </c>
      <c r="AO172" s="46"/>
    </row>
    <row r="173" spans="1:41" ht="12.75">
      <c r="A173" s="1">
        <v>151</v>
      </c>
      <c r="B173" s="1" t="s">
        <v>882</v>
      </c>
      <c r="C173" s="1" t="s">
        <v>4</v>
      </c>
      <c r="D173" s="1">
        <v>4</v>
      </c>
      <c r="E173" s="1" t="s">
        <v>875</v>
      </c>
      <c r="F173" s="21" t="s">
        <v>894</v>
      </c>
      <c r="G173" s="22" t="s">
        <v>2437</v>
      </c>
      <c r="H173" s="1" t="s">
        <v>4166</v>
      </c>
      <c r="I173" s="1" t="s">
        <v>4127</v>
      </c>
      <c r="J173" s="63">
        <v>29104391</v>
      </c>
      <c r="K173" s="1" t="s">
        <v>2438</v>
      </c>
      <c r="L173" s="1">
        <v>3447000</v>
      </c>
      <c r="M173" s="1" t="s">
        <v>3735</v>
      </c>
      <c r="N173" s="1" t="s">
        <v>4181</v>
      </c>
      <c r="O173" s="1">
        <v>3428</v>
      </c>
      <c r="P173" s="64">
        <v>43073</v>
      </c>
      <c r="Q173" s="64">
        <v>46724</v>
      </c>
      <c r="R173" s="62" t="s">
        <v>2440</v>
      </c>
      <c r="S173" s="22" t="s">
        <v>2442</v>
      </c>
      <c r="T173" s="9" t="s">
        <v>2443</v>
      </c>
      <c r="U173" s="1" t="s">
        <v>886</v>
      </c>
      <c r="V173" s="1" t="s">
        <v>2880</v>
      </c>
      <c r="W173" s="1">
        <v>2577</v>
      </c>
      <c r="X173" s="60">
        <v>111711.27</v>
      </c>
      <c r="Y173" s="60">
        <v>105375.47</v>
      </c>
      <c r="Z173" s="2" t="s">
        <v>3741</v>
      </c>
      <c r="AA173" s="46"/>
      <c r="AB173" s="46"/>
      <c r="AC173" s="46"/>
      <c r="AD173" s="46"/>
      <c r="AE173" s="46"/>
      <c r="AF173" s="46"/>
      <c r="AG173" s="43"/>
      <c r="AH173" s="43"/>
      <c r="AI173" s="2"/>
      <c r="AJ173" s="1"/>
      <c r="AK173" s="46"/>
      <c r="AL173" s="46"/>
      <c r="AM173" s="44">
        <f t="shared" si="5"/>
        <v>0</v>
      </c>
      <c r="AN173" s="45">
        <f t="shared" si="6"/>
        <v>0</v>
      </c>
      <c r="AO173" s="46"/>
    </row>
    <row r="174" spans="1:41" ht="12.75">
      <c r="A174" s="1">
        <v>152</v>
      </c>
      <c r="B174" s="1" t="s">
        <v>882</v>
      </c>
      <c r="C174" s="1" t="s">
        <v>4</v>
      </c>
      <c r="D174" s="1">
        <v>4</v>
      </c>
      <c r="E174" s="1" t="s">
        <v>876</v>
      </c>
      <c r="F174" s="21" t="s">
        <v>894</v>
      </c>
      <c r="G174" s="22" t="s">
        <v>2437</v>
      </c>
      <c r="H174" s="1" t="s">
        <v>4166</v>
      </c>
      <c r="I174" s="1" t="s">
        <v>4127</v>
      </c>
      <c r="J174" s="63">
        <v>29104391</v>
      </c>
      <c r="K174" s="1" t="s">
        <v>2438</v>
      </c>
      <c r="L174" s="1">
        <v>3447000</v>
      </c>
      <c r="M174" s="1" t="s">
        <v>3735</v>
      </c>
      <c r="N174" s="1" t="s">
        <v>4181</v>
      </c>
      <c r="O174" s="1">
        <v>3428</v>
      </c>
      <c r="P174" s="64">
        <v>43073</v>
      </c>
      <c r="Q174" s="64">
        <v>46724</v>
      </c>
      <c r="R174" s="62" t="s">
        <v>2440</v>
      </c>
      <c r="S174" s="22" t="s">
        <v>2442</v>
      </c>
      <c r="T174" s="9" t="s">
        <v>2443</v>
      </c>
      <c r="U174" s="1" t="s">
        <v>887</v>
      </c>
      <c r="V174" s="1" t="s">
        <v>2881</v>
      </c>
      <c r="W174" s="1">
        <v>2577</v>
      </c>
      <c r="X174" s="60">
        <v>111711.58</v>
      </c>
      <c r="Y174" s="60">
        <v>105374.55</v>
      </c>
      <c r="Z174" s="2" t="s">
        <v>3741</v>
      </c>
      <c r="AA174" s="46"/>
      <c r="AB174" s="46"/>
      <c r="AC174" s="46"/>
      <c r="AD174" s="46"/>
      <c r="AE174" s="46"/>
      <c r="AF174" s="46"/>
      <c r="AG174" s="43"/>
      <c r="AH174" s="43"/>
      <c r="AI174" s="2"/>
      <c r="AJ174" s="1"/>
      <c r="AK174" s="46"/>
      <c r="AL174" s="46"/>
      <c r="AM174" s="44">
        <f t="shared" si="5"/>
        <v>0</v>
      </c>
      <c r="AN174" s="45">
        <f t="shared" si="6"/>
        <v>0</v>
      </c>
      <c r="AO174" s="46"/>
    </row>
    <row r="175" spans="1:41" ht="12.75">
      <c r="A175" s="1">
        <v>153</v>
      </c>
      <c r="B175" s="1" t="s">
        <v>882</v>
      </c>
      <c r="C175" s="1" t="s">
        <v>4</v>
      </c>
      <c r="D175" s="1">
        <v>4</v>
      </c>
      <c r="E175" s="1" t="s">
        <v>877</v>
      </c>
      <c r="F175" s="21" t="s">
        <v>895</v>
      </c>
      <c r="G175" s="22" t="s">
        <v>2437</v>
      </c>
      <c r="H175" s="1" t="s">
        <v>4166</v>
      </c>
      <c r="I175" s="1" t="s">
        <v>4127</v>
      </c>
      <c r="J175" s="63">
        <v>29104391</v>
      </c>
      <c r="K175" s="1" t="s">
        <v>2438</v>
      </c>
      <c r="L175" s="1">
        <v>3447000</v>
      </c>
      <c r="M175" s="1" t="s">
        <v>3735</v>
      </c>
      <c r="N175" s="1" t="s">
        <v>4181</v>
      </c>
      <c r="O175" s="1">
        <v>3428</v>
      </c>
      <c r="P175" s="64">
        <v>43073</v>
      </c>
      <c r="Q175" s="64">
        <v>46724</v>
      </c>
      <c r="R175" s="62" t="s">
        <v>2440</v>
      </c>
      <c r="S175" s="29" t="s">
        <v>2441</v>
      </c>
      <c r="T175" s="21" t="s">
        <v>2444</v>
      </c>
      <c r="U175" s="1" t="s">
        <v>2883</v>
      </c>
      <c r="V175" s="1" t="s">
        <v>2882</v>
      </c>
      <c r="W175" s="1">
        <v>2564</v>
      </c>
      <c r="X175" s="60">
        <v>111863.91</v>
      </c>
      <c r="Y175" s="60">
        <v>104865.5</v>
      </c>
      <c r="Z175" s="2" t="s">
        <v>3741</v>
      </c>
      <c r="AA175" s="67"/>
      <c r="AB175" s="2"/>
      <c r="AC175" s="79"/>
      <c r="AD175" s="79"/>
      <c r="AE175" s="49"/>
      <c r="AF175" s="2"/>
      <c r="AG175" s="43"/>
      <c r="AH175" s="43"/>
      <c r="AI175" s="2"/>
      <c r="AJ175" s="1"/>
      <c r="AK175" s="43"/>
      <c r="AL175" s="43"/>
      <c r="AM175" s="44">
        <f t="shared" si="5"/>
        <v>0</v>
      </c>
      <c r="AN175" s="45">
        <f t="shared" si="6"/>
        <v>0</v>
      </c>
      <c r="AO175" s="2" t="s">
        <v>2455</v>
      </c>
    </row>
    <row r="176" spans="1:41" ht="12.75">
      <c r="A176" s="1">
        <v>154</v>
      </c>
      <c r="B176" s="1" t="s">
        <v>882</v>
      </c>
      <c r="C176" s="1" t="s">
        <v>4</v>
      </c>
      <c r="D176" s="1">
        <v>4</v>
      </c>
      <c r="E176" s="1" t="s">
        <v>878</v>
      </c>
      <c r="F176" s="21" t="s">
        <v>896</v>
      </c>
      <c r="G176" s="22" t="s">
        <v>2437</v>
      </c>
      <c r="H176" s="1" t="s">
        <v>4166</v>
      </c>
      <c r="I176" s="1" t="s">
        <v>4127</v>
      </c>
      <c r="J176" s="63">
        <v>29104391</v>
      </c>
      <c r="K176" s="1" t="s">
        <v>2438</v>
      </c>
      <c r="L176" s="1">
        <v>3447000</v>
      </c>
      <c r="M176" s="1" t="s">
        <v>3735</v>
      </c>
      <c r="N176" s="1" t="s">
        <v>4181</v>
      </c>
      <c r="O176" s="1">
        <v>3428</v>
      </c>
      <c r="P176" s="64">
        <v>43073</v>
      </c>
      <c r="Q176" s="64">
        <v>46724</v>
      </c>
      <c r="R176" s="62" t="s">
        <v>2440</v>
      </c>
      <c r="S176" s="29" t="s">
        <v>2441</v>
      </c>
      <c r="T176" s="9" t="s">
        <v>2443</v>
      </c>
      <c r="U176" s="1" t="s">
        <v>888</v>
      </c>
      <c r="V176" s="1" t="s">
        <v>2884</v>
      </c>
      <c r="W176" s="1">
        <v>2564</v>
      </c>
      <c r="X176" s="60">
        <v>111950.21</v>
      </c>
      <c r="Y176" s="60">
        <v>104545.46</v>
      </c>
      <c r="Z176" s="2" t="s">
        <v>3741</v>
      </c>
      <c r="AA176" s="46"/>
      <c r="AB176" s="46"/>
      <c r="AC176" s="46"/>
      <c r="AD176" s="46"/>
      <c r="AE176" s="46"/>
      <c r="AF176" s="46"/>
      <c r="AG176" s="43"/>
      <c r="AH176" s="43"/>
      <c r="AI176" s="2"/>
      <c r="AJ176" s="1"/>
      <c r="AK176" s="46"/>
      <c r="AL176" s="46"/>
      <c r="AM176" s="44">
        <f t="shared" si="5"/>
        <v>0</v>
      </c>
      <c r="AN176" s="45">
        <f t="shared" si="6"/>
        <v>0</v>
      </c>
      <c r="AO176" s="46"/>
    </row>
    <row r="177" spans="1:41" ht="12.75">
      <c r="A177" s="1">
        <v>155</v>
      </c>
      <c r="B177" s="1" t="s">
        <v>882</v>
      </c>
      <c r="C177" s="1" t="s">
        <v>4</v>
      </c>
      <c r="D177" s="1">
        <v>4</v>
      </c>
      <c r="E177" s="1" t="s">
        <v>879</v>
      </c>
      <c r="F177" s="21" t="s">
        <v>897</v>
      </c>
      <c r="G177" s="22" t="s">
        <v>2437</v>
      </c>
      <c r="H177" s="1" t="s">
        <v>4166</v>
      </c>
      <c r="I177" s="1" t="s">
        <v>4127</v>
      </c>
      <c r="J177" s="63">
        <v>29104391</v>
      </c>
      <c r="K177" s="1" t="s">
        <v>2438</v>
      </c>
      <c r="L177" s="1">
        <v>3447000</v>
      </c>
      <c r="M177" s="1" t="s">
        <v>3735</v>
      </c>
      <c r="N177" s="1" t="s">
        <v>4181</v>
      </c>
      <c r="O177" s="1">
        <v>3428</v>
      </c>
      <c r="P177" s="64">
        <v>43073</v>
      </c>
      <c r="Q177" s="64">
        <v>46724</v>
      </c>
      <c r="R177" s="62" t="s">
        <v>2440</v>
      </c>
      <c r="S177" s="29" t="s">
        <v>2441</v>
      </c>
      <c r="T177" s="9" t="s">
        <v>2443</v>
      </c>
      <c r="U177" s="1" t="s">
        <v>889</v>
      </c>
      <c r="V177" s="1" t="s">
        <v>2885</v>
      </c>
      <c r="W177" s="1">
        <v>2562</v>
      </c>
      <c r="X177" s="60">
        <v>111921.86</v>
      </c>
      <c r="Y177" s="60">
        <v>104048.47</v>
      </c>
      <c r="Z177" s="2" t="s">
        <v>3741</v>
      </c>
      <c r="AA177" s="46"/>
      <c r="AB177" s="46"/>
      <c r="AC177" s="46"/>
      <c r="AD177" s="46"/>
      <c r="AE177" s="46"/>
      <c r="AF177" s="46"/>
      <c r="AG177" s="43"/>
      <c r="AH177" s="43"/>
      <c r="AI177" s="2"/>
      <c r="AJ177" s="1"/>
      <c r="AK177" s="46"/>
      <c r="AL177" s="46"/>
      <c r="AM177" s="44">
        <f t="shared" si="5"/>
        <v>0</v>
      </c>
      <c r="AN177" s="45">
        <f t="shared" si="6"/>
        <v>0</v>
      </c>
      <c r="AO177" s="46"/>
    </row>
    <row r="178" spans="1:41" ht="12.75">
      <c r="A178" s="1">
        <v>156</v>
      </c>
      <c r="B178" s="1" t="s">
        <v>882</v>
      </c>
      <c r="C178" s="1" t="s">
        <v>4</v>
      </c>
      <c r="D178" s="1">
        <v>4</v>
      </c>
      <c r="E178" s="1" t="s">
        <v>880</v>
      </c>
      <c r="F178" s="21" t="s">
        <v>898</v>
      </c>
      <c r="G178" s="22" t="s">
        <v>2437</v>
      </c>
      <c r="H178" s="1" t="s">
        <v>4166</v>
      </c>
      <c r="I178" s="1" t="s">
        <v>4127</v>
      </c>
      <c r="J178" s="63">
        <v>29104391</v>
      </c>
      <c r="K178" s="1" t="s">
        <v>2438</v>
      </c>
      <c r="L178" s="1">
        <v>3447000</v>
      </c>
      <c r="M178" s="1" t="s">
        <v>3735</v>
      </c>
      <c r="N178" s="1" t="s">
        <v>4181</v>
      </c>
      <c r="O178" s="1">
        <v>3428</v>
      </c>
      <c r="P178" s="64">
        <v>43073</v>
      </c>
      <c r="Q178" s="64">
        <v>46724</v>
      </c>
      <c r="R178" s="62" t="s">
        <v>2440</v>
      </c>
      <c r="S178" s="29" t="s">
        <v>2441</v>
      </c>
      <c r="T178" s="9" t="s">
        <v>2443</v>
      </c>
      <c r="U178" s="1" t="s">
        <v>890</v>
      </c>
      <c r="V178" s="1" t="s">
        <v>2886</v>
      </c>
      <c r="W178" s="1">
        <v>2557</v>
      </c>
      <c r="X178" s="60">
        <v>111944.43</v>
      </c>
      <c r="Y178" s="60">
        <v>103837.55</v>
      </c>
      <c r="Z178" s="2" t="s">
        <v>3741</v>
      </c>
      <c r="AA178" s="46"/>
      <c r="AB178" s="46"/>
      <c r="AC178" s="46"/>
      <c r="AD178" s="46"/>
      <c r="AE178" s="46"/>
      <c r="AF178" s="46"/>
      <c r="AG178" s="43"/>
      <c r="AH178" s="43"/>
      <c r="AI178" s="2"/>
      <c r="AJ178" s="1"/>
      <c r="AK178" s="46"/>
      <c r="AL178" s="46"/>
      <c r="AM178" s="44">
        <f t="shared" si="5"/>
        <v>0</v>
      </c>
      <c r="AN178" s="45">
        <f t="shared" si="6"/>
        <v>0</v>
      </c>
      <c r="AO178" s="46"/>
    </row>
    <row r="179" spans="1:41" ht="12.75">
      <c r="A179" s="1">
        <v>157</v>
      </c>
      <c r="B179" s="1" t="s">
        <v>882</v>
      </c>
      <c r="C179" s="1" t="s">
        <v>4</v>
      </c>
      <c r="D179" s="1">
        <v>4</v>
      </c>
      <c r="E179" s="1" t="s">
        <v>881</v>
      </c>
      <c r="F179" s="21" t="s">
        <v>899</v>
      </c>
      <c r="G179" s="22" t="s">
        <v>2437</v>
      </c>
      <c r="H179" s="1" t="s">
        <v>4166</v>
      </c>
      <c r="I179" s="1" t="s">
        <v>4127</v>
      </c>
      <c r="J179" s="63">
        <v>29104391</v>
      </c>
      <c r="K179" s="1" t="s">
        <v>2438</v>
      </c>
      <c r="L179" s="1">
        <v>3447000</v>
      </c>
      <c r="M179" s="1" t="s">
        <v>3735</v>
      </c>
      <c r="N179" s="1" t="s">
        <v>4181</v>
      </c>
      <c r="O179" s="1">
        <v>3428</v>
      </c>
      <c r="P179" s="64">
        <v>43073</v>
      </c>
      <c r="Q179" s="64">
        <v>46724</v>
      </c>
      <c r="R179" s="62" t="s">
        <v>2440</v>
      </c>
      <c r="S179" s="29" t="s">
        <v>2441</v>
      </c>
      <c r="T179" s="9" t="s">
        <v>2443</v>
      </c>
      <c r="U179" s="1" t="s">
        <v>891</v>
      </c>
      <c r="V179" s="1" t="s">
        <v>2887</v>
      </c>
      <c r="W179" s="1">
        <v>2559</v>
      </c>
      <c r="X179" s="60">
        <v>111963.73</v>
      </c>
      <c r="Y179" s="60">
        <v>103677.67</v>
      </c>
      <c r="Z179" s="2" t="s">
        <v>3741</v>
      </c>
      <c r="AA179" s="46"/>
      <c r="AB179" s="46"/>
      <c r="AC179" s="46"/>
      <c r="AD179" s="46"/>
      <c r="AE179" s="46"/>
      <c r="AF179" s="46"/>
      <c r="AG179" s="43"/>
      <c r="AH179" s="43"/>
      <c r="AI179" s="2"/>
      <c r="AJ179" s="1"/>
      <c r="AK179" s="46"/>
      <c r="AL179" s="46"/>
      <c r="AM179" s="44">
        <f t="shared" si="5"/>
        <v>0</v>
      </c>
      <c r="AN179" s="45">
        <f t="shared" si="6"/>
        <v>0</v>
      </c>
      <c r="AO179" s="46"/>
    </row>
    <row r="180" spans="1:41" ht="12.75">
      <c r="A180" s="1">
        <v>158</v>
      </c>
      <c r="B180" s="1" t="s">
        <v>882</v>
      </c>
      <c r="C180" s="1" t="s">
        <v>4</v>
      </c>
      <c r="D180" s="1">
        <v>4</v>
      </c>
      <c r="E180" s="1" t="s">
        <v>2256</v>
      </c>
      <c r="F180" s="21" t="s">
        <v>2272</v>
      </c>
      <c r="G180" s="22" t="s">
        <v>2437</v>
      </c>
      <c r="H180" s="1" t="s">
        <v>4166</v>
      </c>
      <c r="I180" s="1" t="s">
        <v>4127</v>
      </c>
      <c r="J180" s="63">
        <v>29104391</v>
      </c>
      <c r="K180" s="1" t="s">
        <v>2438</v>
      </c>
      <c r="L180" s="1">
        <v>3447000</v>
      </c>
      <c r="M180" s="1" t="s">
        <v>3735</v>
      </c>
      <c r="N180" s="1" t="s">
        <v>4181</v>
      </c>
      <c r="O180" s="1">
        <v>3428</v>
      </c>
      <c r="P180" s="64">
        <v>43073</v>
      </c>
      <c r="Q180" s="64">
        <v>46724</v>
      </c>
      <c r="R180" s="62" t="s">
        <v>2440</v>
      </c>
      <c r="S180" s="29" t="s">
        <v>2441</v>
      </c>
      <c r="T180" s="9" t="s">
        <v>2443</v>
      </c>
      <c r="U180" s="1" t="s">
        <v>2267</v>
      </c>
      <c r="V180" s="1" t="s">
        <v>2888</v>
      </c>
      <c r="W180" s="1">
        <v>2560</v>
      </c>
      <c r="X180" s="60">
        <v>112177.36</v>
      </c>
      <c r="Y180" s="60">
        <v>102864.84</v>
      </c>
      <c r="Z180" s="2" t="s">
        <v>3741</v>
      </c>
      <c r="AA180" s="46"/>
      <c r="AB180" s="46"/>
      <c r="AC180" s="46"/>
      <c r="AD180" s="46"/>
      <c r="AE180" s="46"/>
      <c r="AF180" s="46"/>
      <c r="AG180" s="43"/>
      <c r="AH180" s="43"/>
      <c r="AI180" s="2"/>
      <c r="AJ180" s="1"/>
      <c r="AK180" s="46"/>
      <c r="AL180" s="46"/>
      <c r="AM180" s="44">
        <f t="shared" si="5"/>
        <v>0</v>
      </c>
      <c r="AN180" s="45">
        <f t="shared" si="6"/>
        <v>0</v>
      </c>
      <c r="AO180" s="46"/>
    </row>
    <row r="181" spans="1:41" ht="12.75">
      <c r="A181" s="1">
        <v>159</v>
      </c>
      <c r="B181" s="1" t="s">
        <v>882</v>
      </c>
      <c r="C181" s="1" t="s">
        <v>4</v>
      </c>
      <c r="D181" s="1">
        <v>4</v>
      </c>
      <c r="E181" s="1" t="s">
        <v>2257</v>
      </c>
      <c r="F181" s="21" t="s">
        <v>2273</v>
      </c>
      <c r="G181" s="21" t="s">
        <v>2454</v>
      </c>
      <c r="H181" s="1" t="s">
        <v>4166</v>
      </c>
      <c r="I181" s="1" t="s">
        <v>4127</v>
      </c>
      <c r="J181" s="63">
        <v>29104391</v>
      </c>
      <c r="K181" s="1" t="s">
        <v>2438</v>
      </c>
      <c r="L181" s="1">
        <v>3447000</v>
      </c>
      <c r="M181" s="1" t="s">
        <v>3735</v>
      </c>
      <c r="N181" s="1" t="s">
        <v>4181</v>
      </c>
      <c r="O181" s="1">
        <v>3428</v>
      </c>
      <c r="P181" s="64">
        <v>43073</v>
      </c>
      <c r="Q181" s="64">
        <v>46724</v>
      </c>
      <c r="R181" s="62" t="s">
        <v>2440</v>
      </c>
      <c r="S181" s="29" t="s">
        <v>2441</v>
      </c>
      <c r="T181" s="9" t="s">
        <v>2443</v>
      </c>
      <c r="U181" s="1" t="s">
        <v>2890</v>
      </c>
      <c r="V181" s="1" t="s">
        <v>2889</v>
      </c>
      <c r="W181" s="1">
        <v>2557</v>
      </c>
      <c r="X181" s="60">
        <v>112261.81</v>
      </c>
      <c r="Y181" s="60">
        <v>102397.12</v>
      </c>
      <c r="Z181" s="2" t="s">
        <v>3741</v>
      </c>
      <c r="AA181" s="46"/>
      <c r="AB181" s="46"/>
      <c r="AC181" s="46"/>
      <c r="AD181" s="46"/>
      <c r="AE181" s="46"/>
      <c r="AF181" s="46"/>
      <c r="AG181" s="43"/>
      <c r="AH181" s="43"/>
      <c r="AI181" s="2"/>
      <c r="AJ181" s="1"/>
      <c r="AK181" s="46"/>
      <c r="AL181" s="46"/>
      <c r="AM181" s="44">
        <f t="shared" si="5"/>
        <v>0</v>
      </c>
      <c r="AN181" s="45">
        <f t="shared" si="6"/>
        <v>0</v>
      </c>
      <c r="AO181" s="46"/>
    </row>
    <row r="182" spans="1:41" ht="12.75">
      <c r="A182" s="1">
        <v>160</v>
      </c>
      <c r="B182" s="1" t="s">
        <v>882</v>
      </c>
      <c r="C182" s="1" t="s">
        <v>4</v>
      </c>
      <c r="D182" s="1">
        <v>4</v>
      </c>
      <c r="E182" s="1" t="s">
        <v>2258</v>
      </c>
      <c r="F182" s="21" t="s">
        <v>2273</v>
      </c>
      <c r="G182" s="21" t="s">
        <v>2454</v>
      </c>
      <c r="H182" s="1" t="s">
        <v>4166</v>
      </c>
      <c r="I182" s="1" t="s">
        <v>4127</v>
      </c>
      <c r="J182" s="63">
        <v>29104391</v>
      </c>
      <c r="K182" s="1" t="s">
        <v>2438</v>
      </c>
      <c r="L182" s="1">
        <v>3447000</v>
      </c>
      <c r="M182" s="1" t="s">
        <v>3735</v>
      </c>
      <c r="N182" s="1" t="s">
        <v>4181</v>
      </c>
      <c r="O182" s="1">
        <v>3428</v>
      </c>
      <c r="P182" s="64">
        <v>43073</v>
      </c>
      <c r="Q182" s="64">
        <v>46724</v>
      </c>
      <c r="R182" s="62" t="s">
        <v>2440</v>
      </c>
      <c r="S182" s="29" t="s">
        <v>2441</v>
      </c>
      <c r="T182" s="9" t="s">
        <v>2443</v>
      </c>
      <c r="U182" s="1" t="s">
        <v>2892</v>
      </c>
      <c r="V182" s="1" t="s">
        <v>2891</v>
      </c>
      <c r="W182" s="1">
        <v>2557</v>
      </c>
      <c r="X182" s="60">
        <v>112262.42</v>
      </c>
      <c r="Y182" s="60">
        <v>102396.51</v>
      </c>
      <c r="Z182" s="2" t="s">
        <v>3741</v>
      </c>
      <c r="AA182" s="46"/>
      <c r="AB182" s="46"/>
      <c r="AC182" s="46"/>
      <c r="AD182" s="46"/>
      <c r="AE182" s="46"/>
      <c r="AF182" s="46"/>
      <c r="AG182" s="43"/>
      <c r="AH182" s="43"/>
      <c r="AI182" s="2"/>
      <c r="AJ182" s="1"/>
      <c r="AK182" s="46"/>
      <c r="AL182" s="46"/>
      <c r="AM182" s="44">
        <f t="shared" si="5"/>
        <v>0</v>
      </c>
      <c r="AN182" s="45">
        <f t="shared" si="6"/>
        <v>0</v>
      </c>
      <c r="AO182" s="46"/>
    </row>
    <row r="183" spans="1:41" ht="12.75">
      <c r="A183" s="1">
        <v>161</v>
      </c>
      <c r="B183" s="1" t="s">
        <v>882</v>
      </c>
      <c r="C183" s="1" t="s">
        <v>4</v>
      </c>
      <c r="D183" s="1">
        <v>4</v>
      </c>
      <c r="E183" s="1" t="s">
        <v>2259</v>
      </c>
      <c r="F183" s="21" t="s">
        <v>2274</v>
      </c>
      <c r="G183" s="21" t="s">
        <v>2454</v>
      </c>
      <c r="H183" s="1" t="s">
        <v>4166</v>
      </c>
      <c r="I183" s="1" t="s">
        <v>4127</v>
      </c>
      <c r="J183" s="63">
        <v>29104391</v>
      </c>
      <c r="K183" s="1" t="s">
        <v>2438</v>
      </c>
      <c r="L183" s="1">
        <v>3447000</v>
      </c>
      <c r="M183" s="1" t="s">
        <v>3735</v>
      </c>
      <c r="N183" s="1" t="s">
        <v>4181</v>
      </c>
      <c r="O183" s="1">
        <v>3428</v>
      </c>
      <c r="P183" s="64">
        <v>43073</v>
      </c>
      <c r="Q183" s="64">
        <v>46724</v>
      </c>
      <c r="R183" s="62" t="s">
        <v>2440</v>
      </c>
      <c r="S183" s="29" t="s">
        <v>2441</v>
      </c>
      <c r="T183" s="9" t="s">
        <v>2443</v>
      </c>
      <c r="U183" s="1" t="s">
        <v>2894</v>
      </c>
      <c r="V183" s="1" t="s">
        <v>2893</v>
      </c>
      <c r="W183" s="1">
        <v>2556</v>
      </c>
      <c r="X183" s="60">
        <v>112284.53</v>
      </c>
      <c r="Y183" s="60">
        <v>102267.63</v>
      </c>
      <c r="Z183" s="2" t="s">
        <v>3741</v>
      </c>
      <c r="AA183" s="46"/>
      <c r="AB183" s="46"/>
      <c r="AC183" s="46"/>
      <c r="AD183" s="46"/>
      <c r="AE183" s="46"/>
      <c r="AF183" s="46"/>
      <c r="AG183" s="43"/>
      <c r="AH183" s="43"/>
      <c r="AI183" s="2"/>
      <c r="AJ183" s="1"/>
      <c r="AK183" s="46"/>
      <c r="AL183" s="46"/>
      <c r="AM183" s="44">
        <f t="shared" si="5"/>
        <v>0</v>
      </c>
      <c r="AN183" s="45">
        <f t="shared" si="6"/>
        <v>0</v>
      </c>
      <c r="AO183" s="46"/>
    </row>
    <row r="184" spans="1:41" ht="12.75">
      <c r="A184" s="1">
        <v>162</v>
      </c>
      <c r="B184" s="1" t="s">
        <v>882</v>
      </c>
      <c r="C184" s="1" t="s">
        <v>4</v>
      </c>
      <c r="D184" s="1">
        <v>4</v>
      </c>
      <c r="E184" s="1" t="s">
        <v>2260</v>
      </c>
      <c r="F184" s="21" t="s">
        <v>2275</v>
      </c>
      <c r="G184" s="21" t="s">
        <v>2454</v>
      </c>
      <c r="H184" s="1" t="s">
        <v>4166</v>
      </c>
      <c r="I184" s="1" t="s">
        <v>4127</v>
      </c>
      <c r="J184" s="63">
        <v>29104391</v>
      </c>
      <c r="K184" s="1" t="s">
        <v>2438</v>
      </c>
      <c r="L184" s="1">
        <v>3447000</v>
      </c>
      <c r="M184" s="1" t="s">
        <v>3735</v>
      </c>
      <c r="N184" s="1" t="s">
        <v>4181</v>
      </c>
      <c r="O184" s="1">
        <v>3428</v>
      </c>
      <c r="P184" s="64">
        <v>43073</v>
      </c>
      <c r="Q184" s="64">
        <v>46724</v>
      </c>
      <c r="R184" s="62" t="s">
        <v>2440</v>
      </c>
      <c r="S184" s="29" t="s">
        <v>2441</v>
      </c>
      <c r="T184" s="9" t="s">
        <v>2443</v>
      </c>
      <c r="U184" s="1" t="s">
        <v>2896</v>
      </c>
      <c r="V184" s="1" t="s">
        <v>2895</v>
      </c>
      <c r="W184" s="1">
        <v>2558</v>
      </c>
      <c r="X184" s="60">
        <v>112325.68</v>
      </c>
      <c r="Y184" s="60">
        <v>102025.6</v>
      </c>
      <c r="Z184" s="2" t="s">
        <v>3741</v>
      </c>
      <c r="AA184" s="46"/>
      <c r="AB184" s="46"/>
      <c r="AC184" s="46"/>
      <c r="AD184" s="46"/>
      <c r="AE184" s="46"/>
      <c r="AF184" s="46"/>
      <c r="AG184" s="43"/>
      <c r="AH184" s="43"/>
      <c r="AI184" s="2"/>
      <c r="AJ184" s="1"/>
      <c r="AK184" s="46"/>
      <c r="AL184" s="46"/>
      <c r="AM184" s="44">
        <f t="shared" si="5"/>
        <v>0</v>
      </c>
      <c r="AN184" s="45">
        <f t="shared" si="6"/>
        <v>0</v>
      </c>
      <c r="AO184" s="46"/>
    </row>
    <row r="185" spans="1:41" ht="12.75">
      <c r="A185" s="1">
        <v>163</v>
      </c>
      <c r="B185" s="1" t="s">
        <v>882</v>
      </c>
      <c r="C185" s="1" t="s">
        <v>4</v>
      </c>
      <c r="D185" s="1">
        <v>4</v>
      </c>
      <c r="E185" s="1" t="s">
        <v>2261</v>
      </c>
      <c r="F185" s="21" t="s">
        <v>2276</v>
      </c>
      <c r="G185" s="21" t="s">
        <v>2454</v>
      </c>
      <c r="H185" s="1" t="s">
        <v>4166</v>
      </c>
      <c r="I185" s="1" t="s">
        <v>4127</v>
      </c>
      <c r="J185" s="63">
        <v>29104391</v>
      </c>
      <c r="K185" s="1" t="s">
        <v>2438</v>
      </c>
      <c r="L185" s="1">
        <v>3447000</v>
      </c>
      <c r="M185" s="1" t="s">
        <v>3735</v>
      </c>
      <c r="N185" s="1" t="s">
        <v>4181</v>
      </c>
      <c r="O185" s="1">
        <v>3428</v>
      </c>
      <c r="P185" s="64">
        <v>43073</v>
      </c>
      <c r="Q185" s="64">
        <v>46724</v>
      </c>
      <c r="R185" s="62" t="s">
        <v>2440</v>
      </c>
      <c r="S185" s="29" t="s">
        <v>2441</v>
      </c>
      <c r="T185" s="9" t="s">
        <v>2443</v>
      </c>
      <c r="U185" s="1" t="s">
        <v>2898</v>
      </c>
      <c r="V185" s="1" t="s">
        <v>2897</v>
      </c>
      <c r="W185" s="1">
        <v>2559</v>
      </c>
      <c r="X185" s="60">
        <v>112334.58</v>
      </c>
      <c r="Y185" s="60">
        <v>101974.73</v>
      </c>
      <c r="Z185" s="2" t="s">
        <v>3741</v>
      </c>
      <c r="AA185" s="46"/>
      <c r="AB185" s="46"/>
      <c r="AC185" s="46"/>
      <c r="AD185" s="46"/>
      <c r="AE185" s="46"/>
      <c r="AF185" s="46"/>
      <c r="AG185" s="43"/>
      <c r="AH185" s="43"/>
      <c r="AI185" s="2"/>
      <c r="AJ185" s="1"/>
      <c r="AK185" s="46"/>
      <c r="AL185" s="46"/>
      <c r="AM185" s="44">
        <f t="shared" si="5"/>
        <v>0</v>
      </c>
      <c r="AN185" s="45">
        <f t="shared" si="6"/>
        <v>0</v>
      </c>
      <c r="AO185" s="46"/>
    </row>
    <row r="186" spans="1:41" ht="45" customHeight="1">
      <c r="A186" s="1">
        <v>164</v>
      </c>
      <c r="B186" s="1" t="s">
        <v>882</v>
      </c>
      <c r="C186" s="1" t="s">
        <v>4</v>
      </c>
      <c r="D186" s="1">
        <v>4</v>
      </c>
      <c r="E186" s="1" t="s">
        <v>2262</v>
      </c>
      <c r="F186" s="21" t="s">
        <v>2277</v>
      </c>
      <c r="G186" s="21" t="s">
        <v>2454</v>
      </c>
      <c r="H186" s="1" t="s">
        <v>4166</v>
      </c>
      <c r="I186" s="1" t="s">
        <v>4127</v>
      </c>
      <c r="J186" s="63">
        <v>29104391</v>
      </c>
      <c r="K186" s="1" t="s">
        <v>2438</v>
      </c>
      <c r="L186" s="1">
        <v>3447000</v>
      </c>
      <c r="M186" s="1" t="s">
        <v>3735</v>
      </c>
      <c r="N186" s="1" t="s">
        <v>4181</v>
      </c>
      <c r="O186" s="1">
        <v>3428</v>
      </c>
      <c r="P186" s="64">
        <v>43073</v>
      </c>
      <c r="Q186" s="64">
        <v>46724</v>
      </c>
      <c r="R186" s="62" t="s">
        <v>2440</v>
      </c>
      <c r="S186" s="22" t="s">
        <v>2442</v>
      </c>
      <c r="T186" s="9" t="s">
        <v>2443</v>
      </c>
      <c r="U186" s="1" t="s">
        <v>2268</v>
      </c>
      <c r="V186" s="1" t="s">
        <v>2899</v>
      </c>
      <c r="W186" s="1">
        <v>2557</v>
      </c>
      <c r="X186" s="60">
        <v>112344.71</v>
      </c>
      <c r="Y186" s="60">
        <v>101888.71</v>
      </c>
      <c r="Z186" s="2" t="s">
        <v>4055</v>
      </c>
      <c r="AA186" s="83">
        <v>43728</v>
      </c>
      <c r="AB186" s="13" t="s">
        <v>3791</v>
      </c>
      <c r="AC186" s="13">
        <v>46</v>
      </c>
      <c r="AD186" s="13">
        <v>26.36</v>
      </c>
      <c r="AE186" s="13">
        <v>2.304</v>
      </c>
      <c r="AF186" s="13">
        <v>24</v>
      </c>
      <c r="AG186" s="43">
        <f>AE186*AC186*AF186*0.0036</f>
        <v>9.1570176</v>
      </c>
      <c r="AH186" s="43">
        <f>AE186*AD186*AF186*0.0036</f>
        <v>5.247369215999999</v>
      </c>
      <c r="AI186" s="2">
        <v>30</v>
      </c>
      <c r="AJ186" s="1">
        <v>12</v>
      </c>
      <c r="AK186" s="13">
        <v>0.69</v>
      </c>
      <c r="AL186" s="13">
        <v>0.66</v>
      </c>
      <c r="AM186" s="44">
        <f>AG186*AI186*AJ186*AK186</f>
        <v>2274.60317184</v>
      </c>
      <c r="AN186" s="45">
        <f>AH186*AI186*AJ186*AL186</f>
        <v>1246.7749257215999</v>
      </c>
      <c r="AO186" s="13" t="s">
        <v>2457</v>
      </c>
    </row>
    <row r="187" spans="1:41" ht="45" customHeight="1">
      <c r="A187" s="1">
        <v>165</v>
      </c>
      <c r="B187" s="1" t="s">
        <v>882</v>
      </c>
      <c r="C187" s="1" t="s">
        <v>4</v>
      </c>
      <c r="D187" s="1">
        <v>4</v>
      </c>
      <c r="E187" s="1" t="s">
        <v>2263</v>
      </c>
      <c r="F187" s="21" t="s">
        <v>2278</v>
      </c>
      <c r="G187" s="21" t="s">
        <v>2454</v>
      </c>
      <c r="H187" s="1" t="s">
        <v>4166</v>
      </c>
      <c r="I187" s="1" t="s">
        <v>4127</v>
      </c>
      <c r="J187" s="63">
        <v>29104391</v>
      </c>
      <c r="K187" s="1" t="s">
        <v>2438</v>
      </c>
      <c r="L187" s="1">
        <v>3447000</v>
      </c>
      <c r="M187" s="1" t="s">
        <v>3735</v>
      </c>
      <c r="N187" s="1" t="s">
        <v>4181</v>
      </c>
      <c r="O187" s="1">
        <v>3428</v>
      </c>
      <c r="P187" s="64">
        <v>43073</v>
      </c>
      <c r="Q187" s="64">
        <v>46724</v>
      </c>
      <c r="R187" s="62" t="s">
        <v>2440</v>
      </c>
      <c r="S187" s="22" t="s">
        <v>2442</v>
      </c>
      <c r="T187" s="9" t="s">
        <v>2443</v>
      </c>
      <c r="U187" s="1" t="s">
        <v>2269</v>
      </c>
      <c r="V187" s="1" t="s">
        <v>2900</v>
      </c>
      <c r="W187" s="1">
        <v>2553</v>
      </c>
      <c r="X187" s="60">
        <v>112366.51</v>
      </c>
      <c r="Y187" s="60">
        <v>101751.21</v>
      </c>
      <c r="Z187" s="2" t="s">
        <v>4056</v>
      </c>
      <c r="AA187" s="83">
        <v>43728</v>
      </c>
      <c r="AB187" s="13" t="s">
        <v>3764</v>
      </c>
      <c r="AC187" s="13">
        <v>94</v>
      </c>
      <c r="AD187" s="13">
        <v>66</v>
      </c>
      <c r="AE187" s="13">
        <v>1.444</v>
      </c>
      <c r="AF187" s="13">
        <v>24</v>
      </c>
      <c r="AG187" s="102">
        <f>AE187*AC187*AF187*0.0036</f>
        <v>11.727590399999999</v>
      </c>
      <c r="AH187" s="102">
        <f>AE187*AD187*AF187*0.0036</f>
        <v>8.2342656</v>
      </c>
      <c r="AI187" s="2">
        <v>30</v>
      </c>
      <c r="AJ187" s="1">
        <v>12</v>
      </c>
      <c r="AK187" s="13">
        <v>0.65</v>
      </c>
      <c r="AL187" s="13">
        <v>0.8</v>
      </c>
      <c r="AM187" s="44">
        <f>AG187*AI187*AJ187*AK187</f>
        <v>2744.2561536</v>
      </c>
      <c r="AN187" s="45">
        <f>AH187*AI187*AJ187*AL187</f>
        <v>2371.4684928</v>
      </c>
      <c r="AO187" s="13" t="s">
        <v>2457</v>
      </c>
    </row>
    <row r="188" spans="1:41" ht="12.75">
      <c r="A188" s="1">
        <v>166</v>
      </c>
      <c r="B188" s="1" t="s">
        <v>882</v>
      </c>
      <c r="C188" s="1" t="s">
        <v>4</v>
      </c>
      <c r="D188" s="1">
        <v>4</v>
      </c>
      <c r="E188" s="1" t="s">
        <v>2264</v>
      </c>
      <c r="F188" s="21" t="s">
        <v>2278</v>
      </c>
      <c r="G188" s="21" t="s">
        <v>2454</v>
      </c>
      <c r="H188" s="1" t="s">
        <v>4166</v>
      </c>
      <c r="I188" s="1" t="s">
        <v>4127</v>
      </c>
      <c r="J188" s="63">
        <v>29104391</v>
      </c>
      <c r="K188" s="1" t="s">
        <v>2438</v>
      </c>
      <c r="L188" s="1">
        <v>3447000</v>
      </c>
      <c r="M188" s="1" t="s">
        <v>3735</v>
      </c>
      <c r="N188" s="1" t="s">
        <v>4181</v>
      </c>
      <c r="O188" s="1">
        <v>3428</v>
      </c>
      <c r="P188" s="64">
        <v>43073</v>
      </c>
      <c r="Q188" s="64">
        <v>46724</v>
      </c>
      <c r="R188" s="62" t="s">
        <v>2440</v>
      </c>
      <c r="S188" s="29" t="s">
        <v>2441</v>
      </c>
      <c r="T188" s="9" t="s">
        <v>2443</v>
      </c>
      <c r="U188" s="1" t="s">
        <v>2902</v>
      </c>
      <c r="V188" s="1" t="s">
        <v>2901</v>
      </c>
      <c r="W188" s="1">
        <v>2553</v>
      </c>
      <c r="X188" s="60">
        <v>112373.27</v>
      </c>
      <c r="Y188" s="60">
        <v>101741.34</v>
      </c>
      <c r="Z188" s="2" t="s">
        <v>3741</v>
      </c>
      <c r="AA188" s="46"/>
      <c r="AB188" s="46"/>
      <c r="AC188" s="46"/>
      <c r="AD188" s="46"/>
      <c r="AE188" s="46"/>
      <c r="AF188" s="46"/>
      <c r="AG188" s="43"/>
      <c r="AH188" s="43"/>
      <c r="AI188" s="2"/>
      <c r="AJ188" s="1"/>
      <c r="AK188" s="46"/>
      <c r="AL188" s="46"/>
      <c r="AM188" s="44">
        <f t="shared" si="5"/>
        <v>0</v>
      </c>
      <c r="AN188" s="45">
        <f t="shared" si="6"/>
        <v>0</v>
      </c>
      <c r="AO188" s="46"/>
    </row>
    <row r="189" spans="1:41" ht="12.75">
      <c r="A189" s="1">
        <v>167</v>
      </c>
      <c r="B189" s="1" t="s">
        <v>882</v>
      </c>
      <c r="C189" s="1" t="s">
        <v>4</v>
      </c>
      <c r="D189" s="1">
        <v>4</v>
      </c>
      <c r="E189" s="1" t="s">
        <v>2265</v>
      </c>
      <c r="F189" s="21" t="s">
        <v>2279</v>
      </c>
      <c r="G189" s="21" t="s">
        <v>2454</v>
      </c>
      <c r="H189" s="1" t="s">
        <v>4166</v>
      </c>
      <c r="I189" s="1" t="s">
        <v>4127</v>
      </c>
      <c r="J189" s="63">
        <v>29104391</v>
      </c>
      <c r="K189" s="1" t="s">
        <v>2438</v>
      </c>
      <c r="L189" s="1">
        <v>3447000</v>
      </c>
      <c r="M189" s="1" t="s">
        <v>3735</v>
      </c>
      <c r="N189" s="1" t="s">
        <v>4181</v>
      </c>
      <c r="O189" s="1">
        <v>3428</v>
      </c>
      <c r="P189" s="64">
        <v>43073</v>
      </c>
      <c r="Q189" s="64">
        <v>46724</v>
      </c>
      <c r="R189" s="62" t="s">
        <v>2440</v>
      </c>
      <c r="S189" s="29" t="s">
        <v>2441</v>
      </c>
      <c r="T189" s="9" t="s">
        <v>2443</v>
      </c>
      <c r="U189" s="1" t="s">
        <v>2270</v>
      </c>
      <c r="V189" s="1" t="s">
        <v>2903</v>
      </c>
      <c r="W189" s="1">
        <v>2551</v>
      </c>
      <c r="X189" s="60">
        <v>112453.89</v>
      </c>
      <c r="Y189" s="60">
        <v>101574.81</v>
      </c>
      <c r="Z189" s="2" t="s">
        <v>3741</v>
      </c>
      <c r="AA189" s="46"/>
      <c r="AB189" s="46"/>
      <c r="AC189" s="46"/>
      <c r="AD189" s="46"/>
      <c r="AE189" s="46"/>
      <c r="AF189" s="46"/>
      <c r="AG189" s="43"/>
      <c r="AH189" s="43"/>
      <c r="AI189" s="2"/>
      <c r="AJ189" s="1"/>
      <c r="AK189" s="46"/>
      <c r="AL189" s="46"/>
      <c r="AM189" s="44">
        <f t="shared" si="5"/>
        <v>0</v>
      </c>
      <c r="AN189" s="45">
        <f t="shared" si="6"/>
        <v>0</v>
      </c>
      <c r="AO189" s="46"/>
    </row>
    <row r="190" spans="1:41" ht="12.75">
      <c r="A190" s="1">
        <v>168</v>
      </c>
      <c r="B190" s="1" t="s">
        <v>882</v>
      </c>
      <c r="C190" s="1" t="s">
        <v>4</v>
      </c>
      <c r="D190" s="1">
        <v>4</v>
      </c>
      <c r="E190" s="1" t="s">
        <v>2266</v>
      </c>
      <c r="F190" s="21" t="s">
        <v>2280</v>
      </c>
      <c r="G190" s="21" t="s">
        <v>2454</v>
      </c>
      <c r="H190" s="1" t="s">
        <v>4166</v>
      </c>
      <c r="I190" s="1" t="s">
        <v>4127</v>
      </c>
      <c r="J190" s="63">
        <v>29104391</v>
      </c>
      <c r="K190" s="1" t="s">
        <v>2438</v>
      </c>
      <c r="L190" s="1">
        <v>3447000</v>
      </c>
      <c r="M190" s="1" t="s">
        <v>3735</v>
      </c>
      <c r="N190" s="1" t="s">
        <v>4181</v>
      </c>
      <c r="O190" s="1">
        <v>3428</v>
      </c>
      <c r="P190" s="64">
        <v>43073</v>
      </c>
      <c r="Q190" s="64">
        <v>46724</v>
      </c>
      <c r="R190" s="62" t="s">
        <v>2440</v>
      </c>
      <c r="S190" s="30" t="s">
        <v>2436</v>
      </c>
      <c r="T190" s="9" t="s">
        <v>2443</v>
      </c>
      <c r="U190" s="1" t="s">
        <v>2271</v>
      </c>
      <c r="V190" s="1" t="s">
        <v>2904</v>
      </c>
      <c r="W190" s="1">
        <v>2552</v>
      </c>
      <c r="X190" s="60">
        <v>112483.369</v>
      </c>
      <c r="Y190" s="60">
        <v>101471.25</v>
      </c>
      <c r="Z190" s="2" t="s">
        <v>3741</v>
      </c>
      <c r="AA190" s="46"/>
      <c r="AB190" s="46"/>
      <c r="AC190" s="46"/>
      <c r="AD190" s="46"/>
      <c r="AE190" s="46"/>
      <c r="AF190" s="46"/>
      <c r="AG190" s="43"/>
      <c r="AH190" s="43"/>
      <c r="AI190" s="2"/>
      <c r="AJ190" s="1"/>
      <c r="AK190" s="46"/>
      <c r="AL190" s="46"/>
      <c r="AM190" s="44">
        <f t="shared" si="5"/>
        <v>0</v>
      </c>
      <c r="AN190" s="45">
        <f t="shared" si="6"/>
        <v>0</v>
      </c>
      <c r="AO190" s="46"/>
    </row>
    <row r="191" spans="1:41" ht="12.75">
      <c r="A191" s="215" t="s">
        <v>2414</v>
      </c>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72"/>
      <c r="AN191" s="70"/>
      <c r="AO191" s="46"/>
    </row>
    <row r="192" spans="1:41" ht="12.75">
      <c r="A192" s="213" t="s">
        <v>2415</v>
      </c>
      <c r="B192" s="214"/>
      <c r="C192" s="214"/>
      <c r="D192" s="214"/>
      <c r="E192" s="214"/>
      <c r="F192" s="214"/>
      <c r="G192" s="214"/>
      <c r="H192" s="214"/>
      <c r="I192" s="214"/>
      <c r="J192" s="214"/>
      <c r="K192" s="214"/>
      <c r="L192" s="214"/>
      <c r="M192" s="214"/>
      <c r="N192" s="214"/>
      <c r="O192" s="214"/>
      <c r="P192" s="214"/>
      <c r="Q192" s="214"/>
      <c r="R192" s="214"/>
      <c r="S192" s="214"/>
      <c r="T192" s="214"/>
      <c r="U192" s="214"/>
      <c r="V192" s="214"/>
      <c r="W192" s="214"/>
      <c r="X192" s="214"/>
      <c r="Y192" s="214"/>
      <c r="Z192" s="214"/>
      <c r="AA192" s="214"/>
      <c r="AB192" s="214"/>
      <c r="AC192" s="214"/>
      <c r="AD192" s="214"/>
      <c r="AE192" s="214"/>
      <c r="AF192" s="214"/>
      <c r="AG192" s="214"/>
      <c r="AH192" s="214"/>
      <c r="AI192" s="214"/>
      <c r="AJ192" s="214"/>
      <c r="AK192" s="214"/>
      <c r="AL192" s="214"/>
      <c r="AM192" s="73">
        <f>SUM(AM170:AM190)</f>
        <v>5018.85932544</v>
      </c>
      <c r="AN192" s="73">
        <f>SUM(AN170:AN190)</f>
        <v>3618.2434185216</v>
      </c>
      <c r="AO192" s="46"/>
    </row>
    <row r="193" spans="1:41" ht="52.5" customHeight="1">
      <c r="A193" s="1">
        <v>169</v>
      </c>
      <c r="B193" s="1" t="s">
        <v>2363</v>
      </c>
      <c r="C193" s="1" t="s">
        <v>4</v>
      </c>
      <c r="D193" s="1">
        <v>4</v>
      </c>
      <c r="E193" s="1" t="s">
        <v>3795</v>
      </c>
      <c r="F193" s="21" t="s">
        <v>2365</v>
      </c>
      <c r="G193" s="21" t="s">
        <v>2454</v>
      </c>
      <c r="H193" s="1" t="s">
        <v>4166</v>
      </c>
      <c r="I193" s="1" t="s">
        <v>4127</v>
      </c>
      <c r="J193" s="63">
        <v>29104391</v>
      </c>
      <c r="K193" s="1" t="s">
        <v>2438</v>
      </c>
      <c r="L193" s="1">
        <v>3447000</v>
      </c>
      <c r="M193" s="1" t="s">
        <v>3735</v>
      </c>
      <c r="N193" s="1" t="s">
        <v>4181</v>
      </c>
      <c r="O193" s="1">
        <v>3428</v>
      </c>
      <c r="P193" s="64">
        <v>43073</v>
      </c>
      <c r="Q193" s="64">
        <v>46724</v>
      </c>
      <c r="R193" s="62" t="s">
        <v>2440</v>
      </c>
      <c r="S193" s="30" t="s">
        <v>2436</v>
      </c>
      <c r="T193" s="21" t="s">
        <v>2443</v>
      </c>
      <c r="U193" s="1" t="s">
        <v>3792</v>
      </c>
      <c r="V193" s="1" t="s">
        <v>3793</v>
      </c>
      <c r="W193" s="1">
        <v>2550</v>
      </c>
      <c r="X193" s="60">
        <v>111702.95</v>
      </c>
      <c r="Y193" s="60">
        <v>100785.04</v>
      </c>
      <c r="Z193" s="69" t="s">
        <v>4000</v>
      </c>
      <c r="AA193" s="67">
        <v>43718</v>
      </c>
      <c r="AB193" s="2" t="s">
        <v>2496</v>
      </c>
      <c r="AC193" s="69">
        <v>26</v>
      </c>
      <c r="AD193" s="69">
        <v>12.6</v>
      </c>
      <c r="AE193" s="134">
        <v>1.066805475943162</v>
      </c>
      <c r="AF193" s="69">
        <v>24</v>
      </c>
      <c r="AG193" s="43">
        <f aca="true" t="shared" si="7" ref="AG193:AG198">AE193*AC193*AF193*0.0036</f>
        <v>2.396471821158719</v>
      </c>
      <c r="AH193" s="43">
        <f aca="true" t="shared" si="8" ref="AH193:AH198">AE193*AD193*AF193*0.0036</f>
        <v>1.1613671133307637</v>
      </c>
      <c r="AI193" s="2">
        <v>30</v>
      </c>
      <c r="AJ193" s="1">
        <v>12</v>
      </c>
      <c r="AK193" s="1">
        <v>0.69</v>
      </c>
      <c r="AL193" s="1">
        <v>0.9</v>
      </c>
      <c r="AM193" s="44">
        <f>AG193*AI193*AJ193*AK193</f>
        <v>595.2836003758257</v>
      </c>
      <c r="AN193" s="45">
        <f>AH193*AI193*AJ193*AL193</f>
        <v>376.28294471916746</v>
      </c>
      <c r="AO193" s="2" t="s">
        <v>2457</v>
      </c>
    </row>
    <row r="194" spans="1:41" ht="48" customHeight="1">
      <c r="A194" s="1">
        <v>170</v>
      </c>
      <c r="B194" s="1" t="s">
        <v>2363</v>
      </c>
      <c r="C194" s="1" t="s">
        <v>4</v>
      </c>
      <c r="D194" s="1">
        <v>4</v>
      </c>
      <c r="E194" s="1" t="s">
        <v>3794</v>
      </c>
      <c r="F194" s="21" t="s">
        <v>2366</v>
      </c>
      <c r="G194" s="21" t="s">
        <v>2454</v>
      </c>
      <c r="H194" s="1" t="s">
        <v>4166</v>
      </c>
      <c r="I194" s="1" t="s">
        <v>4127</v>
      </c>
      <c r="J194" s="63">
        <v>29104391</v>
      </c>
      <c r="K194" s="1" t="s">
        <v>2438</v>
      </c>
      <c r="L194" s="1">
        <v>3447000</v>
      </c>
      <c r="M194" s="1" t="s">
        <v>3735</v>
      </c>
      <c r="N194" s="1" t="s">
        <v>4181</v>
      </c>
      <c r="O194" s="1">
        <v>3428</v>
      </c>
      <c r="P194" s="64">
        <v>43073</v>
      </c>
      <c r="Q194" s="64">
        <v>46724</v>
      </c>
      <c r="R194" s="62" t="s">
        <v>2440</v>
      </c>
      <c r="S194" s="30" t="s">
        <v>2436</v>
      </c>
      <c r="T194" s="21" t="s">
        <v>2443</v>
      </c>
      <c r="U194" s="1" t="s">
        <v>3792</v>
      </c>
      <c r="V194" s="1" t="s">
        <v>3793</v>
      </c>
      <c r="W194" s="1">
        <v>2550</v>
      </c>
      <c r="X194" s="60"/>
      <c r="Y194" s="60"/>
      <c r="Z194" s="69" t="s">
        <v>4001</v>
      </c>
      <c r="AA194" s="67">
        <v>43718</v>
      </c>
      <c r="AB194" s="2" t="s">
        <v>2527</v>
      </c>
      <c r="AC194" s="69">
        <v>32.7</v>
      </c>
      <c r="AD194" s="69">
        <v>13.1</v>
      </c>
      <c r="AE194" s="134">
        <v>0.83</v>
      </c>
      <c r="AF194" s="69">
        <v>24</v>
      </c>
      <c r="AG194" s="43">
        <f t="shared" si="7"/>
        <v>2.3449824</v>
      </c>
      <c r="AH194" s="43">
        <f t="shared" si="8"/>
        <v>0.9394272</v>
      </c>
      <c r="AI194" s="2">
        <v>30</v>
      </c>
      <c r="AJ194" s="1">
        <v>12</v>
      </c>
      <c r="AK194" s="1">
        <v>0.61</v>
      </c>
      <c r="AL194" s="1">
        <v>0.74</v>
      </c>
      <c r="AM194" s="44">
        <f t="shared" si="5"/>
        <v>514.9581350400001</v>
      </c>
      <c r="AN194" s="45">
        <f t="shared" si="6"/>
        <v>250.26340607999998</v>
      </c>
      <c r="AO194" s="2" t="s">
        <v>2457</v>
      </c>
    </row>
    <row r="195" spans="1:41" ht="54.75" customHeight="1">
      <c r="A195" s="1">
        <v>171</v>
      </c>
      <c r="B195" s="1" t="s">
        <v>2363</v>
      </c>
      <c r="C195" s="1" t="s">
        <v>4</v>
      </c>
      <c r="D195" s="1">
        <v>4</v>
      </c>
      <c r="E195" s="1" t="s">
        <v>2360</v>
      </c>
      <c r="F195" s="16" t="s">
        <v>2367</v>
      </c>
      <c r="G195" s="21" t="s">
        <v>2454</v>
      </c>
      <c r="H195" s="1" t="s">
        <v>4166</v>
      </c>
      <c r="I195" s="1" t="s">
        <v>4127</v>
      </c>
      <c r="J195" s="63">
        <v>29104391</v>
      </c>
      <c r="K195" s="1" t="s">
        <v>2438</v>
      </c>
      <c r="L195" s="1">
        <v>3447000</v>
      </c>
      <c r="M195" s="1" t="s">
        <v>3735</v>
      </c>
      <c r="N195" s="1" t="s">
        <v>4181</v>
      </c>
      <c r="O195" s="1">
        <v>3428</v>
      </c>
      <c r="P195" s="64">
        <v>43073</v>
      </c>
      <c r="Q195" s="64">
        <v>46724</v>
      </c>
      <c r="R195" s="62" t="s">
        <v>2440</v>
      </c>
      <c r="S195" s="30" t="s">
        <v>2436</v>
      </c>
      <c r="T195" s="21" t="s">
        <v>2443</v>
      </c>
      <c r="U195" s="1" t="s">
        <v>2372</v>
      </c>
      <c r="V195" s="1" t="s">
        <v>2373</v>
      </c>
      <c r="W195" s="1">
        <v>2550</v>
      </c>
      <c r="X195" s="60">
        <v>111683.26</v>
      </c>
      <c r="Y195" s="60">
        <v>100554.12</v>
      </c>
      <c r="Z195" s="69" t="s">
        <v>4002</v>
      </c>
      <c r="AA195" s="67">
        <v>43718</v>
      </c>
      <c r="AB195" s="2" t="s">
        <v>3785</v>
      </c>
      <c r="AC195" s="69">
        <v>169</v>
      </c>
      <c r="AD195" s="69">
        <v>75</v>
      </c>
      <c r="AE195" s="134">
        <v>13.64</v>
      </c>
      <c r="AF195" s="69">
        <v>24</v>
      </c>
      <c r="AG195" s="43">
        <f t="shared" si="7"/>
        <v>199.16582400000004</v>
      </c>
      <c r="AH195" s="43">
        <f t="shared" si="8"/>
        <v>88.38719999999999</v>
      </c>
      <c r="AI195" s="2">
        <v>30</v>
      </c>
      <c r="AJ195" s="1">
        <v>12</v>
      </c>
      <c r="AK195" s="1">
        <v>0.8</v>
      </c>
      <c r="AL195" s="1">
        <v>0.88</v>
      </c>
      <c r="AM195" s="44">
        <f t="shared" si="5"/>
        <v>57359.75731200001</v>
      </c>
      <c r="AN195" s="45">
        <f t="shared" si="6"/>
        <v>28001.06496</v>
      </c>
      <c r="AO195" s="2" t="s">
        <v>2456</v>
      </c>
    </row>
    <row r="196" spans="1:41" ht="56.25" customHeight="1">
      <c r="A196" s="1">
        <v>172</v>
      </c>
      <c r="B196" s="1" t="s">
        <v>2364</v>
      </c>
      <c r="C196" s="1" t="s">
        <v>4</v>
      </c>
      <c r="D196" s="1">
        <v>4</v>
      </c>
      <c r="E196" s="1" t="s">
        <v>2361</v>
      </c>
      <c r="F196" s="21" t="s">
        <v>2368</v>
      </c>
      <c r="G196" s="21" t="s">
        <v>2454</v>
      </c>
      <c r="H196" s="1" t="s">
        <v>4166</v>
      </c>
      <c r="I196" s="1" t="s">
        <v>4127</v>
      </c>
      <c r="J196" s="63">
        <v>29104391</v>
      </c>
      <c r="K196" s="1" t="s">
        <v>2438</v>
      </c>
      <c r="L196" s="1">
        <v>3447000</v>
      </c>
      <c r="M196" s="1" t="s">
        <v>3735</v>
      </c>
      <c r="N196" s="1" t="s">
        <v>4181</v>
      </c>
      <c r="O196" s="1">
        <v>3428</v>
      </c>
      <c r="P196" s="64">
        <v>43073</v>
      </c>
      <c r="Q196" s="64">
        <v>46724</v>
      </c>
      <c r="R196" s="62" t="s">
        <v>2440</v>
      </c>
      <c r="S196" s="30" t="s">
        <v>2436</v>
      </c>
      <c r="T196" s="21" t="s">
        <v>2443</v>
      </c>
      <c r="U196" s="1" t="s">
        <v>2905</v>
      </c>
      <c r="V196" s="1" t="s">
        <v>2906</v>
      </c>
      <c r="W196" s="1">
        <v>2549</v>
      </c>
      <c r="X196" s="60">
        <v>115704.11</v>
      </c>
      <c r="Y196" s="60">
        <v>96433.8</v>
      </c>
      <c r="Z196" s="69" t="s">
        <v>4003</v>
      </c>
      <c r="AA196" s="67">
        <v>43654</v>
      </c>
      <c r="AB196" s="2" t="s">
        <v>2407</v>
      </c>
      <c r="AC196" s="69">
        <v>337</v>
      </c>
      <c r="AD196" s="69">
        <v>380</v>
      </c>
      <c r="AE196" s="134">
        <v>229.1</v>
      </c>
      <c r="AF196" s="69">
        <v>24</v>
      </c>
      <c r="AG196" s="43">
        <f t="shared" si="7"/>
        <v>6670.658879999999</v>
      </c>
      <c r="AH196" s="43">
        <f t="shared" si="8"/>
        <v>7521.8112</v>
      </c>
      <c r="AI196" s="2">
        <v>30</v>
      </c>
      <c r="AJ196" s="1">
        <v>12</v>
      </c>
      <c r="AK196" s="1">
        <v>0.8</v>
      </c>
      <c r="AL196" s="1">
        <v>0.88</v>
      </c>
      <c r="AM196" s="44">
        <f>AG196*AI196*AJ196*AK196</f>
        <v>1921149.7574399998</v>
      </c>
      <c r="AN196" s="45">
        <f t="shared" si="6"/>
        <v>2382909.78816</v>
      </c>
      <c r="AO196" s="2" t="s">
        <v>2456</v>
      </c>
    </row>
    <row r="197" spans="1:41" ht="54.75" customHeight="1">
      <c r="A197" s="1">
        <v>173</v>
      </c>
      <c r="B197" s="1" t="s">
        <v>2364</v>
      </c>
      <c r="C197" s="1" t="s">
        <v>4</v>
      </c>
      <c r="D197" s="1">
        <v>4</v>
      </c>
      <c r="E197" s="1" t="s">
        <v>2362</v>
      </c>
      <c r="F197" s="21" t="s">
        <v>2369</v>
      </c>
      <c r="G197" s="21" t="s">
        <v>2454</v>
      </c>
      <c r="H197" s="1" t="s">
        <v>4166</v>
      </c>
      <c r="I197" s="1" t="s">
        <v>4127</v>
      </c>
      <c r="J197" s="63">
        <v>29104391</v>
      </c>
      <c r="K197" s="1" t="s">
        <v>2438</v>
      </c>
      <c r="L197" s="1">
        <v>3447000</v>
      </c>
      <c r="M197" s="1" t="s">
        <v>3735</v>
      </c>
      <c r="N197" s="1" t="s">
        <v>4181</v>
      </c>
      <c r="O197" s="1">
        <v>3428</v>
      </c>
      <c r="P197" s="64">
        <v>43073</v>
      </c>
      <c r="Q197" s="64">
        <v>46724</v>
      </c>
      <c r="R197" s="62" t="s">
        <v>2440</v>
      </c>
      <c r="S197" s="30" t="s">
        <v>2436</v>
      </c>
      <c r="T197" s="21" t="s">
        <v>2443</v>
      </c>
      <c r="U197" s="1" t="s">
        <v>2907</v>
      </c>
      <c r="V197" s="1" t="s">
        <v>2908</v>
      </c>
      <c r="W197" s="1">
        <v>2546</v>
      </c>
      <c r="X197" s="60">
        <v>115782.12</v>
      </c>
      <c r="Y197" s="60">
        <v>96320.75</v>
      </c>
      <c r="Z197" s="69" t="s">
        <v>4004</v>
      </c>
      <c r="AA197" s="67">
        <v>43654</v>
      </c>
      <c r="AB197" s="2" t="s">
        <v>2461</v>
      </c>
      <c r="AC197" s="2">
        <v>59</v>
      </c>
      <c r="AD197" s="2">
        <v>66</v>
      </c>
      <c r="AE197" s="134">
        <v>6.106</v>
      </c>
      <c r="AF197" s="69">
        <v>24</v>
      </c>
      <c r="AG197" s="43">
        <f t="shared" si="7"/>
        <v>31.125945600000005</v>
      </c>
      <c r="AH197" s="43">
        <f t="shared" si="8"/>
        <v>34.81885439999999</v>
      </c>
      <c r="AI197" s="2">
        <v>30</v>
      </c>
      <c r="AJ197" s="1">
        <v>12</v>
      </c>
      <c r="AK197" s="1">
        <v>0.62</v>
      </c>
      <c r="AL197" s="1">
        <v>0.76</v>
      </c>
      <c r="AM197" s="44">
        <f t="shared" si="5"/>
        <v>6947.31105792</v>
      </c>
      <c r="AN197" s="45">
        <f t="shared" si="6"/>
        <v>9526.438563839998</v>
      </c>
      <c r="AO197" s="2" t="s">
        <v>2457</v>
      </c>
    </row>
    <row r="198" spans="1:41" ht="51.75" customHeight="1">
      <c r="A198" s="1">
        <v>174</v>
      </c>
      <c r="B198" s="1" t="s">
        <v>2364</v>
      </c>
      <c r="C198" s="1" t="s">
        <v>4</v>
      </c>
      <c r="D198" s="1">
        <v>4</v>
      </c>
      <c r="E198" s="1" t="s">
        <v>3796</v>
      </c>
      <c r="F198" s="21" t="s">
        <v>2370</v>
      </c>
      <c r="G198" s="21" t="s">
        <v>2454</v>
      </c>
      <c r="H198" s="1" t="s">
        <v>4166</v>
      </c>
      <c r="I198" s="1" t="s">
        <v>4127</v>
      </c>
      <c r="J198" s="63">
        <v>29104391</v>
      </c>
      <c r="K198" s="1" t="s">
        <v>2438</v>
      </c>
      <c r="L198" s="1">
        <v>3447000</v>
      </c>
      <c r="M198" s="1" t="s">
        <v>3735</v>
      </c>
      <c r="N198" s="1" t="s">
        <v>4181</v>
      </c>
      <c r="O198" s="1">
        <v>3428</v>
      </c>
      <c r="P198" s="64">
        <v>43073</v>
      </c>
      <c r="Q198" s="64">
        <v>46724</v>
      </c>
      <c r="R198" s="62" t="s">
        <v>2440</v>
      </c>
      <c r="S198" s="30" t="s">
        <v>2436</v>
      </c>
      <c r="T198" s="21" t="s">
        <v>2443</v>
      </c>
      <c r="U198" s="1" t="s">
        <v>3798</v>
      </c>
      <c r="V198" s="1" t="s">
        <v>3799</v>
      </c>
      <c r="W198" s="1">
        <v>2547</v>
      </c>
      <c r="X198" s="60"/>
      <c r="Y198" s="60"/>
      <c r="Z198" s="69" t="s">
        <v>4005</v>
      </c>
      <c r="AA198" s="67">
        <v>43654</v>
      </c>
      <c r="AB198" s="2" t="s">
        <v>3797</v>
      </c>
      <c r="AC198" s="2">
        <v>444</v>
      </c>
      <c r="AD198" s="2">
        <v>270</v>
      </c>
      <c r="AE198" s="134">
        <v>0.33</v>
      </c>
      <c r="AF198" s="69">
        <v>24</v>
      </c>
      <c r="AG198" s="43">
        <f t="shared" si="7"/>
        <v>12.659328000000002</v>
      </c>
      <c r="AH198" s="43">
        <f t="shared" si="8"/>
        <v>7.69824</v>
      </c>
      <c r="AI198" s="2">
        <v>30</v>
      </c>
      <c r="AJ198" s="1">
        <v>12</v>
      </c>
      <c r="AK198" s="1">
        <v>0.74</v>
      </c>
      <c r="AL198" s="1">
        <v>0.84</v>
      </c>
      <c r="AM198" s="44">
        <f t="shared" si="5"/>
        <v>3372.4449792</v>
      </c>
      <c r="AN198" s="45">
        <f t="shared" si="6"/>
        <v>2327.947776</v>
      </c>
      <c r="AO198" s="2" t="s">
        <v>2457</v>
      </c>
    </row>
    <row r="199" spans="1:41" ht="51.75" customHeight="1">
      <c r="A199" s="1">
        <v>175</v>
      </c>
      <c r="B199" s="1" t="s">
        <v>2364</v>
      </c>
      <c r="C199" s="1" t="s">
        <v>4</v>
      </c>
      <c r="D199" s="1">
        <v>4</v>
      </c>
      <c r="E199" s="1" t="s">
        <v>3977</v>
      </c>
      <c r="F199" s="21" t="s">
        <v>3978</v>
      </c>
      <c r="G199" s="21" t="s">
        <v>2454</v>
      </c>
      <c r="H199" s="1" t="s">
        <v>4166</v>
      </c>
      <c r="I199" s="1" t="s">
        <v>4127</v>
      </c>
      <c r="J199" s="63">
        <v>29104391</v>
      </c>
      <c r="K199" s="1" t="s">
        <v>2438</v>
      </c>
      <c r="L199" s="1">
        <v>3447000</v>
      </c>
      <c r="M199" s="1" t="s">
        <v>3735</v>
      </c>
      <c r="N199" s="1" t="s">
        <v>4181</v>
      </c>
      <c r="O199" s="1">
        <v>3428</v>
      </c>
      <c r="P199" s="64">
        <v>43073</v>
      </c>
      <c r="Q199" s="64">
        <v>46724</v>
      </c>
      <c r="R199" s="62" t="s">
        <v>2440</v>
      </c>
      <c r="S199" s="30" t="s">
        <v>2436</v>
      </c>
      <c r="T199" s="21" t="s">
        <v>2443</v>
      </c>
      <c r="U199" s="1" t="s">
        <v>3979</v>
      </c>
      <c r="V199" s="1" t="s">
        <v>3980</v>
      </c>
      <c r="W199" s="1">
        <v>2547</v>
      </c>
      <c r="X199" s="60"/>
      <c r="Y199" s="60"/>
      <c r="Z199" s="69" t="s">
        <v>4006</v>
      </c>
      <c r="AA199" s="67">
        <v>43742</v>
      </c>
      <c r="AB199" s="2" t="s">
        <v>2409</v>
      </c>
      <c r="AC199" s="2">
        <v>244</v>
      </c>
      <c r="AD199" s="2">
        <v>230</v>
      </c>
      <c r="AE199" s="134">
        <v>6.66</v>
      </c>
      <c r="AF199" s="69">
        <v>24</v>
      </c>
      <c r="AG199" s="102">
        <f>AE199*AC199*AF199*0.0036</f>
        <v>140.403456</v>
      </c>
      <c r="AH199" s="102">
        <f>AE199*AD199*AF199*0.0036</f>
        <v>132.34751999999997</v>
      </c>
      <c r="AI199" s="2">
        <v>30</v>
      </c>
      <c r="AJ199" s="1">
        <v>12</v>
      </c>
      <c r="AK199" s="1">
        <v>0.65</v>
      </c>
      <c r="AL199" s="1">
        <v>0.82</v>
      </c>
      <c r="AM199" s="44">
        <f>AG199*AI199*AJ199*AK199</f>
        <v>32854.408704</v>
      </c>
      <c r="AN199" s="45">
        <f>AH199*AI199*AJ199*AL199</f>
        <v>39068.987903999994</v>
      </c>
      <c r="AO199" s="2" t="s">
        <v>2457</v>
      </c>
    </row>
    <row r="200" spans="1:41" ht="51.75" customHeight="1">
      <c r="A200" s="1">
        <v>176</v>
      </c>
      <c r="B200" s="1" t="s">
        <v>2364</v>
      </c>
      <c r="C200" s="1" t="s">
        <v>4</v>
      </c>
      <c r="D200" s="1">
        <v>4</v>
      </c>
      <c r="E200" s="1" t="s">
        <v>3949</v>
      </c>
      <c r="F200" s="21" t="s">
        <v>2371</v>
      </c>
      <c r="G200" s="21" t="s">
        <v>2454</v>
      </c>
      <c r="H200" s="1" t="s">
        <v>4166</v>
      </c>
      <c r="I200" s="1" t="s">
        <v>4127</v>
      </c>
      <c r="J200" s="63">
        <v>29104391</v>
      </c>
      <c r="K200" s="1" t="s">
        <v>2438</v>
      </c>
      <c r="L200" s="1">
        <v>3447000</v>
      </c>
      <c r="M200" s="1" t="s">
        <v>3735</v>
      </c>
      <c r="N200" s="1" t="s">
        <v>4181</v>
      </c>
      <c r="O200" s="1">
        <v>3428</v>
      </c>
      <c r="P200" s="64">
        <v>43073</v>
      </c>
      <c r="Q200" s="64">
        <v>46724</v>
      </c>
      <c r="R200" s="62" t="s">
        <v>2440</v>
      </c>
      <c r="S200" s="30" t="s">
        <v>2436</v>
      </c>
      <c r="T200" s="21" t="s">
        <v>2443</v>
      </c>
      <c r="U200" s="1" t="s">
        <v>2910</v>
      </c>
      <c r="V200" s="1" t="s">
        <v>2909</v>
      </c>
      <c r="W200" s="1">
        <v>2550</v>
      </c>
      <c r="X200" s="60">
        <v>114326.58</v>
      </c>
      <c r="Y200" s="60">
        <v>96639.36</v>
      </c>
      <c r="Z200" s="69" t="s">
        <v>4007</v>
      </c>
      <c r="AA200" s="67">
        <v>43717</v>
      </c>
      <c r="AB200" s="2" t="s">
        <v>2408</v>
      </c>
      <c r="AC200" s="2">
        <v>346</v>
      </c>
      <c r="AD200" s="2">
        <v>192</v>
      </c>
      <c r="AE200" s="134">
        <f>(39.659+62.771+56.477+58.907+57.354)/5</f>
        <v>55.0336</v>
      </c>
      <c r="AF200" s="69">
        <v>24</v>
      </c>
      <c r="AG200" s="102">
        <f>AE200*AC200*AF200*0.0036</f>
        <v>1645.19645184</v>
      </c>
      <c r="AH200" s="102">
        <f>AE200*AD200*AF200*0.0036</f>
        <v>912.94138368</v>
      </c>
      <c r="AI200" s="2">
        <v>30</v>
      </c>
      <c r="AJ200" s="1">
        <v>12</v>
      </c>
      <c r="AK200" s="1">
        <v>0.88</v>
      </c>
      <c r="AL200" s="1">
        <v>0.68</v>
      </c>
      <c r="AM200" s="44">
        <f>AG200*AI200*AJ200*AK200</f>
        <v>521198.235942912</v>
      </c>
      <c r="AN200" s="45">
        <f>AH200*AI200*AJ200*AL200</f>
        <v>223488.050724864</v>
      </c>
      <c r="AO200" s="2" t="s">
        <v>2456</v>
      </c>
    </row>
    <row r="201" spans="1:41" ht="12.75">
      <c r="A201" s="226" t="s">
        <v>2414</v>
      </c>
      <c r="B201" s="226"/>
      <c r="C201" s="226"/>
      <c r="D201" s="226"/>
      <c r="E201" s="226"/>
      <c r="F201" s="226"/>
      <c r="G201" s="226"/>
      <c r="H201" s="226"/>
      <c r="I201" s="226"/>
      <c r="J201" s="226"/>
      <c r="K201" s="226"/>
      <c r="L201" s="226"/>
      <c r="M201" s="226"/>
      <c r="N201" s="226"/>
      <c r="O201" s="226"/>
      <c r="P201" s="226"/>
      <c r="Q201" s="226"/>
      <c r="R201" s="226"/>
      <c r="S201" s="226"/>
      <c r="T201" s="226"/>
      <c r="U201" s="226"/>
      <c r="V201" s="226"/>
      <c r="W201" s="226"/>
      <c r="X201" s="226"/>
      <c r="Y201" s="226"/>
      <c r="Z201" s="226"/>
      <c r="AA201" s="226"/>
      <c r="AB201" s="226"/>
      <c r="AC201" s="226"/>
      <c r="AD201" s="226"/>
      <c r="AE201" s="226"/>
      <c r="AF201" s="226"/>
      <c r="AG201" s="226"/>
      <c r="AH201" s="226"/>
      <c r="AI201" s="226"/>
      <c r="AJ201" s="226"/>
      <c r="AK201" s="226"/>
      <c r="AL201" s="226"/>
      <c r="AM201" s="80"/>
      <c r="AN201" s="80"/>
      <c r="AO201" s="46"/>
    </row>
    <row r="202" spans="1:41" ht="12.75">
      <c r="A202" s="227" t="s">
        <v>2415</v>
      </c>
      <c r="B202" s="227"/>
      <c r="C202" s="227"/>
      <c r="D202" s="227"/>
      <c r="E202" s="227"/>
      <c r="F202" s="227"/>
      <c r="G202" s="227"/>
      <c r="H202" s="227"/>
      <c r="I202" s="227"/>
      <c r="J202" s="227"/>
      <c r="K202" s="227"/>
      <c r="L202" s="227"/>
      <c r="M202" s="227"/>
      <c r="N202" s="227"/>
      <c r="O202" s="227"/>
      <c r="P202" s="227"/>
      <c r="Q202" s="227"/>
      <c r="R202" s="227"/>
      <c r="S202" s="227"/>
      <c r="T202" s="227"/>
      <c r="U202" s="227"/>
      <c r="V202" s="227"/>
      <c r="W202" s="227"/>
      <c r="X202" s="227"/>
      <c r="Y202" s="227"/>
      <c r="Z202" s="227"/>
      <c r="AA202" s="227"/>
      <c r="AB202" s="227"/>
      <c r="AC202" s="227"/>
      <c r="AD202" s="227"/>
      <c r="AE202" s="227"/>
      <c r="AF202" s="227"/>
      <c r="AG202" s="227"/>
      <c r="AH202" s="227"/>
      <c r="AI202" s="227"/>
      <c r="AJ202" s="227"/>
      <c r="AK202" s="227"/>
      <c r="AL202" s="227"/>
      <c r="AM202" s="81">
        <f>SUM(AM193:AM200)</f>
        <v>2543992.1571714478</v>
      </c>
      <c r="AN202" s="81">
        <f>SUM(AN193:AN200)</f>
        <v>2685948.8244395033</v>
      </c>
      <c r="AO202" s="46"/>
    </row>
  </sheetData>
  <sheetProtection/>
  <mergeCells count="52">
    <mergeCell ref="A191:AL191"/>
    <mergeCell ref="A192:AL192"/>
    <mergeCell ref="A201:AL201"/>
    <mergeCell ref="A202:AL202"/>
    <mergeCell ref="A149:AL149"/>
    <mergeCell ref="A150:AL150"/>
    <mergeCell ref="A168:AL168"/>
    <mergeCell ref="A169:AL169"/>
    <mergeCell ref="A127:AL127"/>
    <mergeCell ref="A128:AL128"/>
    <mergeCell ref="A1:A2"/>
    <mergeCell ref="B1:B2"/>
    <mergeCell ref="C1:C2"/>
    <mergeCell ref="D1:D2"/>
    <mergeCell ref="E1:E2"/>
    <mergeCell ref="I1:I2"/>
    <mergeCell ref="J1:J2"/>
    <mergeCell ref="K1:K2"/>
    <mergeCell ref="L1:L2"/>
    <mergeCell ref="M1:M2"/>
    <mergeCell ref="F1:F2"/>
    <mergeCell ref="G1:G2"/>
    <mergeCell ref="H1:H2"/>
    <mergeCell ref="U1:V1"/>
    <mergeCell ref="X1:Y1"/>
    <mergeCell ref="Z1:Z2"/>
    <mergeCell ref="AA1:AA2"/>
    <mergeCell ref="AB1:AB2"/>
    <mergeCell ref="N1:Q1"/>
    <mergeCell ref="R1:R2"/>
    <mergeCell ref="S1:S2"/>
    <mergeCell ref="T1:T2"/>
    <mergeCell ref="A82:AL82"/>
    <mergeCell ref="A83:AL83"/>
    <mergeCell ref="AG1:AG2"/>
    <mergeCell ref="AH1:AH2"/>
    <mergeCell ref="AI1:AI2"/>
    <mergeCell ref="AJ1:AJ2"/>
    <mergeCell ref="AK1:AK2"/>
    <mergeCell ref="AL1:AL2"/>
    <mergeCell ref="AD1:AD2"/>
    <mergeCell ref="AE1:AE2"/>
    <mergeCell ref="AO1:AO2"/>
    <mergeCell ref="A11:AL11"/>
    <mergeCell ref="A12:AL12"/>
    <mergeCell ref="A40:AL40"/>
    <mergeCell ref="A41:AL41"/>
    <mergeCell ref="AM1:AM2"/>
    <mergeCell ref="AN1:AN2"/>
    <mergeCell ref="AC1:AC2"/>
    <mergeCell ref="AF1:AF2"/>
    <mergeCell ref="W1:W2"/>
  </mergeCells>
  <printOptions/>
  <pageMargins left="0.7" right="0.7" top="0.75" bottom="0.75" header="0.3" footer="0.3"/>
  <pageSetup horizontalDpi="600" verticalDpi="600" orientation="portrait" r:id="rId1"/>
  <ignoredErrors>
    <ignoredError sqref="AM28:AN28 AM51:AN51 AM65:AN65 AM105:AN105" formula="1"/>
  </ignoredErrors>
</worksheet>
</file>

<file path=xl/worksheets/sheet5.xml><?xml version="1.0" encoding="utf-8"?>
<worksheet xmlns="http://schemas.openxmlformats.org/spreadsheetml/2006/main" xmlns:r="http://schemas.openxmlformats.org/officeDocument/2006/relationships">
  <dimension ref="A1:AS136"/>
  <sheetViews>
    <sheetView zoomScale="70" zoomScaleNormal="70" zoomScalePageLayoutView="0" workbookViewId="0" topLeftCell="A1">
      <pane xSplit="5" ySplit="2" topLeftCell="M126" activePane="bottomRight" state="frozen"/>
      <selection pane="topLeft" activeCell="A1" sqref="A1"/>
      <selection pane="topRight" activeCell="F1" sqref="F1"/>
      <selection pane="bottomLeft" activeCell="A3" sqref="A3"/>
      <selection pane="bottomRight" activeCell="N99" sqref="N99:N132"/>
    </sheetView>
  </sheetViews>
  <sheetFormatPr defaultColWidth="11.421875" defaultRowHeight="15"/>
  <cols>
    <col min="1" max="1" width="12.00390625" style="7" customWidth="1"/>
    <col min="2" max="5" width="21.421875" style="7" customWidth="1"/>
    <col min="6" max="6" width="38.00390625" style="7" customWidth="1"/>
    <col min="7" max="7" width="10.57421875" style="7" customWidth="1"/>
    <col min="8" max="8" width="10.28125" style="7" customWidth="1"/>
    <col min="9" max="9" width="19.7109375" style="7" customWidth="1"/>
    <col min="10" max="10" width="17.421875" style="7" customWidth="1"/>
    <col min="11" max="11" width="11.00390625" style="7" customWidth="1"/>
    <col min="12" max="12" width="7.57421875" style="7" customWidth="1"/>
    <col min="13" max="13" width="14.421875" style="7" customWidth="1"/>
    <col min="14" max="14" width="6.7109375" style="7" customWidth="1"/>
    <col min="15" max="15" width="9.57421875" style="7" customWidth="1"/>
    <col min="16" max="16" width="8.7109375" style="7" customWidth="1"/>
    <col min="17" max="17" width="10.28125" style="7" customWidth="1"/>
    <col min="18" max="18" width="15.57421875" style="7" customWidth="1"/>
    <col min="19" max="19" width="11.7109375" style="7" customWidth="1"/>
    <col min="20" max="20" width="20.140625" style="7" customWidth="1"/>
    <col min="21" max="21" width="18.28125" style="7" customWidth="1"/>
    <col min="22" max="22" width="13.140625" style="7" customWidth="1"/>
    <col min="23" max="23" width="7.140625" style="7" customWidth="1"/>
    <col min="24" max="24" width="11.57421875" style="7" customWidth="1"/>
    <col min="25" max="25" width="10.57421875" style="7" customWidth="1"/>
    <col min="26" max="26" width="58.7109375" style="7" customWidth="1"/>
    <col min="27" max="38" width="11.421875" style="7" customWidth="1"/>
    <col min="39" max="40" width="25.7109375" style="7" bestFit="1" customWidth="1"/>
    <col min="41" max="41" width="11.421875" style="7" customWidth="1"/>
    <col min="42" max="43" width="11.7109375" style="7" bestFit="1" customWidth="1"/>
    <col min="44" max="16384" width="11.421875" style="7" customWidth="1"/>
  </cols>
  <sheetData>
    <row r="1" spans="1:41" s="6" customFormat="1" ht="12.75" customHeight="1">
      <c r="A1" s="217" t="s">
        <v>0</v>
      </c>
      <c r="B1" s="217" t="s">
        <v>2307</v>
      </c>
      <c r="C1" s="217" t="s">
        <v>84</v>
      </c>
      <c r="D1" s="217" t="s">
        <v>85</v>
      </c>
      <c r="E1" s="217" t="s">
        <v>2416</v>
      </c>
      <c r="F1" s="217" t="s">
        <v>87</v>
      </c>
      <c r="G1" s="217" t="s">
        <v>2417</v>
      </c>
      <c r="H1" s="217" t="s">
        <v>2418</v>
      </c>
      <c r="I1" s="217" t="s">
        <v>2419</v>
      </c>
      <c r="J1" s="223" t="s">
        <v>2420</v>
      </c>
      <c r="K1" s="217" t="s">
        <v>2421</v>
      </c>
      <c r="L1" s="217" t="s">
        <v>2422</v>
      </c>
      <c r="M1" s="217" t="s">
        <v>2423</v>
      </c>
      <c r="N1" s="217" t="s">
        <v>2424</v>
      </c>
      <c r="O1" s="217"/>
      <c r="P1" s="217"/>
      <c r="Q1" s="217"/>
      <c r="R1" s="217" t="s">
        <v>2429</v>
      </c>
      <c r="S1" s="217" t="s">
        <v>2430</v>
      </c>
      <c r="T1" s="217" t="s">
        <v>2431</v>
      </c>
      <c r="U1" s="218" t="s">
        <v>1</v>
      </c>
      <c r="V1" s="219"/>
      <c r="W1" s="217" t="s">
        <v>2432</v>
      </c>
      <c r="X1" s="217" t="s">
        <v>2433</v>
      </c>
      <c r="Y1" s="217"/>
      <c r="Z1" s="217" t="s">
        <v>2401</v>
      </c>
      <c r="AA1" s="217" t="s">
        <v>2402</v>
      </c>
      <c r="AB1" s="217" t="s">
        <v>2403</v>
      </c>
      <c r="AC1" s="217" t="s">
        <v>2386</v>
      </c>
      <c r="AD1" s="217" t="s">
        <v>2387</v>
      </c>
      <c r="AE1" s="217" t="s">
        <v>2388</v>
      </c>
      <c r="AF1" s="217" t="s">
        <v>2389</v>
      </c>
      <c r="AG1" s="217" t="s">
        <v>2390</v>
      </c>
      <c r="AH1" s="217" t="s">
        <v>2391</v>
      </c>
      <c r="AI1" s="217" t="s">
        <v>2392</v>
      </c>
      <c r="AJ1" s="217" t="s">
        <v>2393</v>
      </c>
      <c r="AK1" s="217" t="s">
        <v>2394</v>
      </c>
      <c r="AL1" s="217" t="s">
        <v>2395</v>
      </c>
      <c r="AM1" s="220" t="s">
        <v>2396</v>
      </c>
      <c r="AN1" s="220" t="s">
        <v>2397</v>
      </c>
      <c r="AO1" s="217" t="s">
        <v>2398</v>
      </c>
    </row>
    <row r="2" spans="1:41" s="6" customFormat="1" ht="25.5">
      <c r="A2" s="221"/>
      <c r="B2" s="221"/>
      <c r="C2" s="221"/>
      <c r="D2" s="221"/>
      <c r="E2" s="221"/>
      <c r="F2" s="221"/>
      <c r="G2" s="221"/>
      <c r="H2" s="221"/>
      <c r="I2" s="221"/>
      <c r="J2" s="229"/>
      <c r="K2" s="221"/>
      <c r="L2" s="221"/>
      <c r="M2" s="221"/>
      <c r="N2" s="78" t="s">
        <v>2425</v>
      </c>
      <c r="O2" s="78" t="s">
        <v>2426</v>
      </c>
      <c r="P2" s="78" t="s">
        <v>2427</v>
      </c>
      <c r="Q2" s="78" t="s">
        <v>2428</v>
      </c>
      <c r="R2" s="221"/>
      <c r="S2" s="221"/>
      <c r="T2" s="221"/>
      <c r="U2" s="78" t="s">
        <v>2399</v>
      </c>
      <c r="V2" s="78" t="s">
        <v>2400</v>
      </c>
      <c r="W2" s="221"/>
      <c r="X2" s="78" t="s">
        <v>2434</v>
      </c>
      <c r="Y2" s="78" t="s">
        <v>2435</v>
      </c>
      <c r="Z2" s="221"/>
      <c r="AA2" s="221"/>
      <c r="AB2" s="221"/>
      <c r="AC2" s="221"/>
      <c r="AD2" s="221"/>
      <c r="AE2" s="221"/>
      <c r="AF2" s="221"/>
      <c r="AG2" s="221"/>
      <c r="AH2" s="221"/>
      <c r="AI2" s="221"/>
      <c r="AJ2" s="221"/>
      <c r="AK2" s="221"/>
      <c r="AL2" s="221"/>
      <c r="AM2" s="228"/>
      <c r="AN2" s="228"/>
      <c r="AO2" s="221"/>
    </row>
    <row r="3" spans="1:41" s="5" customFormat="1" ht="12.75" customHeight="1">
      <c r="A3" s="35">
        <v>1</v>
      </c>
      <c r="B3" s="35" t="s">
        <v>2</v>
      </c>
      <c r="C3" s="35" t="s">
        <v>2</v>
      </c>
      <c r="D3" s="35">
        <v>1</v>
      </c>
      <c r="E3" s="69" t="s">
        <v>466</v>
      </c>
      <c r="F3" s="142" t="s">
        <v>465</v>
      </c>
      <c r="G3" s="69" t="s">
        <v>2486</v>
      </c>
      <c r="H3" s="35" t="s">
        <v>4166</v>
      </c>
      <c r="I3" s="35" t="s">
        <v>4127</v>
      </c>
      <c r="J3" s="139">
        <v>29104391</v>
      </c>
      <c r="K3" s="35" t="s">
        <v>2438</v>
      </c>
      <c r="L3" s="35">
        <v>3447000</v>
      </c>
      <c r="M3" s="35" t="s">
        <v>3735</v>
      </c>
      <c r="N3" s="35" t="s">
        <v>4181</v>
      </c>
      <c r="O3" s="35">
        <v>3428</v>
      </c>
      <c r="P3" s="140">
        <v>43073</v>
      </c>
      <c r="Q3" s="140">
        <v>46724</v>
      </c>
      <c r="R3" s="62" t="s">
        <v>2440</v>
      </c>
      <c r="S3" s="35" t="s">
        <v>2442</v>
      </c>
      <c r="T3" s="142" t="s">
        <v>2444</v>
      </c>
      <c r="U3" s="142" t="s">
        <v>2911</v>
      </c>
      <c r="V3" s="142" t="s">
        <v>1807</v>
      </c>
      <c r="W3" s="142">
        <v>2648</v>
      </c>
      <c r="X3" s="143">
        <v>97285.18</v>
      </c>
      <c r="Y3" s="143">
        <v>99748.63</v>
      </c>
      <c r="Z3" s="69" t="s">
        <v>3741</v>
      </c>
      <c r="AA3" s="69"/>
      <c r="AB3" s="69"/>
      <c r="AC3" s="69"/>
      <c r="AD3" s="69"/>
      <c r="AE3" s="69"/>
      <c r="AF3" s="69"/>
      <c r="AG3" s="95"/>
      <c r="AH3" s="95"/>
      <c r="AI3" s="69"/>
      <c r="AJ3" s="35"/>
      <c r="AK3" s="66"/>
      <c r="AL3" s="66"/>
      <c r="AM3" s="145">
        <f>AG3*AI3*AJ3*AK3</f>
        <v>0</v>
      </c>
      <c r="AN3" s="146">
        <f>AH3*AI3*AJ3*AL3</f>
        <v>0</v>
      </c>
      <c r="AO3" s="69"/>
    </row>
    <row r="4" spans="1:41" ht="83.25" customHeight="1">
      <c r="A4" s="35">
        <v>2</v>
      </c>
      <c r="B4" s="35" t="s">
        <v>2</v>
      </c>
      <c r="C4" s="35" t="s">
        <v>2</v>
      </c>
      <c r="D4" s="35">
        <v>1</v>
      </c>
      <c r="E4" s="69" t="s">
        <v>467</v>
      </c>
      <c r="F4" s="35" t="s">
        <v>468</v>
      </c>
      <c r="G4" s="69" t="s">
        <v>2486</v>
      </c>
      <c r="H4" s="35" t="s">
        <v>4166</v>
      </c>
      <c r="I4" s="35" t="s">
        <v>4127</v>
      </c>
      <c r="J4" s="139">
        <v>29104391</v>
      </c>
      <c r="K4" s="35" t="s">
        <v>2438</v>
      </c>
      <c r="L4" s="35">
        <v>3447000</v>
      </c>
      <c r="M4" s="35" t="s">
        <v>3735</v>
      </c>
      <c r="N4" s="35" t="s">
        <v>4181</v>
      </c>
      <c r="O4" s="35">
        <v>3428</v>
      </c>
      <c r="P4" s="140">
        <v>43073</v>
      </c>
      <c r="Q4" s="140">
        <v>46724</v>
      </c>
      <c r="R4" s="62" t="s">
        <v>2440</v>
      </c>
      <c r="S4" s="62" t="s">
        <v>2441</v>
      </c>
      <c r="T4" s="35" t="s">
        <v>2487</v>
      </c>
      <c r="U4" s="142" t="s">
        <v>2912</v>
      </c>
      <c r="V4" s="142" t="s">
        <v>469</v>
      </c>
      <c r="W4" s="142">
        <v>2639</v>
      </c>
      <c r="X4" s="143">
        <v>97433.91</v>
      </c>
      <c r="Y4" s="143">
        <v>99673.68</v>
      </c>
      <c r="Z4" s="69" t="s">
        <v>4066</v>
      </c>
      <c r="AA4" s="67">
        <v>43699</v>
      </c>
      <c r="AB4" s="147" t="s">
        <v>3922</v>
      </c>
      <c r="AC4" s="82">
        <v>66.8</v>
      </c>
      <c r="AD4" s="82">
        <v>70</v>
      </c>
      <c r="AE4" s="82">
        <v>141.8</v>
      </c>
      <c r="AF4" s="82">
        <v>24</v>
      </c>
      <c r="AG4" s="95">
        <f>AE4*AC4*AF4*0.0036</f>
        <v>818.401536</v>
      </c>
      <c r="AH4" s="95">
        <f>AE4*AD4*AF4*0.0036</f>
        <v>857.6064</v>
      </c>
      <c r="AI4" s="82">
        <v>30</v>
      </c>
      <c r="AJ4" s="82">
        <v>12</v>
      </c>
      <c r="AK4" s="82">
        <v>0.57</v>
      </c>
      <c r="AL4" s="82">
        <v>0.59</v>
      </c>
      <c r="AM4" s="117">
        <f aca="true" t="shared" si="0" ref="AM4:AM75">AG4*AI4*AJ4*AK4</f>
        <v>167935.9951872</v>
      </c>
      <c r="AN4" s="118">
        <f aca="true" t="shared" si="1" ref="AN4:AN75">AH4*AI4*AJ4*AL4</f>
        <v>182155.59936</v>
      </c>
      <c r="AO4" s="82" t="s">
        <v>2455</v>
      </c>
    </row>
    <row r="5" spans="1:41" ht="52.5" customHeight="1">
      <c r="A5" s="35">
        <v>3</v>
      </c>
      <c r="B5" s="35" t="s">
        <v>2</v>
      </c>
      <c r="C5" s="35" t="s">
        <v>2</v>
      </c>
      <c r="D5" s="35">
        <v>1</v>
      </c>
      <c r="E5" s="35" t="s">
        <v>470</v>
      </c>
      <c r="F5" s="35" t="s">
        <v>1880</v>
      </c>
      <c r="G5" s="69" t="s">
        <v>2486</v>
      </c>
      <c r="H5" s="35" t="s">
        <v>4166</v>
      </c>
      <c r="I5" s="35" t="s">
        <v>4127</v>
      </c>
      <c r="J5" s="139">
        <v>29104391</v>
      </c>
      <c r="K5" s="35" t="s">
        <v>2438</v>
      </c>
      <c r="L5" s="35">
        <v>3447000</v>
      </c>
      <c r="M5" s="35" t="s">
        <v>3735</v>
      </c>
      <c r="N5" s="35" t="s">
        <v>4181</v>
      </c>
      <c r="O5" s="35">
        <v>3428</v>
      </c>
      <c r="P5" s="140">
        <v>43073</v>
      </c>
      <c r="Q5" s="140">
        <v>46724</v>
      </c>
      <c r="R5" s="62" t="s">
        <v>2440</v>
      </c>
      <c r="S5" s="62" t="s">
        <v>2441</v>
      </c>
      <c r="T5" s="35" t="s">
        <v>2443</v>
      </c>
      <c r="U5" s="62" t="s">
        <v>2913</v>
      </c>
      <c r="V5" s="62" t="s">
        <v>1808</v>
      </c>
      <c r="W5" s="62">
        <v>2615</v>
      </c>
      <c r="X5" s="143">
        <v>97680.01</v>
      </c>
      <c r="Y5" s="143">
        <v>99232.08</v>
      </c>
      <c r="Z5" s="69" t="s">
        <v>3852</v>
      </c>
      <c r="AA5" s="67">
        <v>43480</v>
      </c>
      <c r="AB5" s="147">
        <v>0.4708333333333334</v>
      </c>
      <c r="AC5" s="69"/>
      <c r="AD5" s="93"/>
      <c r="AE5" s="93"/>
      <c r="AF5" s="93"/>
      <c r="AG5" s="93"/>
      <c r="AH5" s="93"/>
      <c r="AI5" s="93"/>
      <c r="AJ5" s="93"/>
      <c r="AK5" s="93"/>
      <c r="AL5" s="93"/>
      <c r="AM5" s="117">
        <f t="shared" si="0"/>
        <v>0</v>
      </c>
      <c r="AN5" s="118">
        <f t="shared" si="1"/>
        <v>0</v>
      </c>
      <c r="AO5" s="82" t="s">
        <v>2455</v>
      </c>
    </row>
    <row r="6" spans="1:41" ht="38.25">
      <c r="A6" s="35">
        <v>4</v>
      </c>
      <c r="B6" s="35" t="s">
        <v>2</v>
      </c>
      <c r="C6" s="35" t="s">
        <v>2</v>
      </c>
      <c r="D6" s="35">
        <v>1</v>
      </c>
      <c r="E6" s="35" t="s">
        <v>471</v>
      </c>
      <c r="F6" s="35" t="s">
        <v>472</v>
      </c>
      <c r="G6" s="69" t="s">
        <v>2486</v>
      </c>
      <c r="H6" s="35" t="s">
        <v>4166</v>
      </c>
      <c r="I6" s="35" t="s">
        <v>4127</v>
      </c>
      <c r="J6" s="139">
        <v>29104391</v>
      </c>
      <c r="K6" s="35" t="s">
        <v>2438</v>
      </c>
      <c r="L6" s="35">
        <v>3447000</v>
      </c>
      <c r="M6" s="35" t="s">
        <v>3735</v>
      </c>
      <c r="N6" s="35" t="s">
        <v>4181</v>
      </c>
      <c r="O6" s="35">
        <v>3428</v>
      </c>
      <c r="P6" s="140">
        <v>43073</v>
      </c>
      <c r="Q6" s="140">
        <v>46724</v>
      </c>
      <c r="R6" s="62" t="s">
        <v>2440</v>
      </c>
      <c r="S6" s="35" t="s">
        <v>2442</v>
      </c>
      <c r="T6" s="35" t="s">
        <v>2487</v>
      </c>
      <c r="U6" s="62" t="s">
        <v>2914</v>
      </c>
      <c r="V6" s="62" t="s">
        <v>1809</v>
      </c>
      <c r="W6" s="62">
        <v>2614</v>
      </c>
      <c r="X6" s="143">
        <v>97639.44</v>
      </c>
      <c r="Y6" s="143">
        <v>99187.68</v>
      </c>
      <c r="Z6" s="69" t="s">
        <v>3852</v>
      </c>
      <c r="AA6" s="67">
        <v>43480</v>
      </c>
      <c r="AB6" s="147">
        <v>0.45694444444444443</v>
      </c>
      <c r="AC6" s="69"/>
      <c r="AD6" s="93"/>
      <c r="AE6" s="93"/>
      <c r="AF6" s="93"/>
      <c r="AG6" s="93"/>
      <c r="AH6" s="93"/>
      <c r="AI6" s="93"/>
      <c r="AJ6" s="93"/>
      <c r="AK6" s="93"/>
      <c r="AL6" s="93"/>
      <c r="AM6" s="117">
        <f t="shared" si="0"/>
        <v>0</v>
      </c>
      <c r="AN6" s="118">
        <f t="shared" si="1"/>
        <v>0</v>
      </c>
      <c r="AO6" s="82" t="s">
        <v>2455</v>
      </c>
    </row>
    <row r="7" spans="1:41" ht="85.5" customHeight="1">
      <c r="A7" s="35">
        <v>5</v>
      </c>
      <c r="B7" s="35" t="s">
        <v>2</v>
      </c>
      <c r="C7" s="35" t="s">
        <v>2</v>
      </c>
      <c r="D7" s="35">
        <v>1</v>
      </c>
      <c r="E7" s="35" t="s">
        <v>473</v>
      </c>
      <c r="F7" s="142" t="s">
        <v>475</v>
      </c>
      <c r="G7" s="69" t="s">
        <v>2486</v>
      </c>
      <c r="H7" s="35" t="s">
        <v>4166</v>
      </c>
      <c r="I7" s="35" t="s">
        <v>4127</v>
      </c>
      <c r="J7" s="139">
        <v>29104391</v>
      </c>
      <c r="K7" s="35" t="s">
        <v>2438</v>
      </c>
      <c r="L7" s="35">
        <v>3447000</v>
      </c>
      <c r="M7" s="35" t="s">
        <v>3735</v>
      </c>
      <c r="N7" s="35" t="s">
        <v>4181</v>
      </c>
      <c r="O7" s="35">
        <v>3428</v>
      </c>
      <c r="P7" s="140">
        <v>43073</v>
      </c>
      <c r="Q7" s="140">
        <v>46724</v>
      </c>
      <c r="R7" s="62" t="s">
        <v>2440</v>
      </c>
      <c r="S7" s="142" t="s">
        <v>2442</v>
      </c>
      <c r="T7" s="35" t="s">
        <v>2443</v>
      </c>
      <c r="U7" s="142" t="s">
        <v>2915</v>
      </c>
      <c r="V7" s="142" t="s">
        <v>1810</v>
      </c>
      <c r="W7" s="142">
        <v>2598</v>
      </c>
      <c r="X7" s="143">
        <v>97906.76</v>
      </c>
      <c r="Y7" s="143">
        <v>98790.48</v>
      </c>
      <c r="Z7" s="69" t="s">
        <v>3852</v>
      </c>
      <c r="AA7" s="82"/>
      <c r="AB7" s="82"/>
      <c r="AC7" s="82"/>
      <c r="AD7" s="82"/>
      <c r="AE7" s="82"/>
      <c r="AF7" s="82"/>
      <c r="AG7" s="95"/>
      <c r="AH7" s="95"/>
      <c r="AI7" s="69"/>
      <c r="AJ7" s="35"/>
      <c r="AK7" s="66"/>
      <c r="AL7" s="66"/>
      <c r="AM7" s="145">
        <f t="shared" si="0"/>
        <v>0</v>
      </c>
      <c r="AN7" s="146">
        <f t="shared" si="1"/>
        <v>0</v>
      </c>
      <c r="AO7" s="69"/>
    </row>
    <row r="8" spans="1:41" ht="32.25" customHeight="1">
      <c r="A8" s="35">
        <v>6</v>
      </c>
      <c r="B8" s="35" t="s">
        <v>2</v>
      </c>
      <c r="C8" s="35" t="s">
        <v>2</v>
      </c>
      <c r="D8" s="35">
        <v>1</v>
      </c>
      <c r="E8" s="35" t="s">
        <v>474</v>
      </c>
      <c r="F8" s="142" t="s">
        <v>475</v>
      </c>
      <c r="G8" s="69" t="s">
        <v>2486</v>
      </c>
      <c r="H8" s="35" t="s">
        <v>4166</v>
      </c>
      <c r="I8" s="35" t="s">
        <v>4127</v>
      </c>
      <c r="J8" s="139">
        <v>29104391</v>
      </c>
      <c r="K8" s="35" t="s">
        <v>2438</v>
      </c>
      <c r="L8" s="35">
        <v>3447000</v>
      </c>
      <c r="M8" s="35" t="s">
        <v>3735</v>
      </c>
      <c r="N8" s="35" t="s">
        <v>4181</v>
      </c>
      <c r="O8" s="35">
        <v>3428</v>
      </c>
      <c r="P8" s="140">
        <v>43073</v>
      </c>
      <c r="Q8" s="140">
        <v>46724</v>
      </c>
      <c r="R8" s="62" t="s">
        <v>2440</v>
      </c>
      <c r="S8" s="62" t="s">
        <v>2441</v>
      </c>
      <c r="T8" s="35" t="s">
        <v>2443</v>
      </c>
      <c r="U8" s="142" t="s">
        <v>2916</v>
      </c>
      <c r="V8" s="142" t="s">
        <v>1811</v>
      </c>
      <c r="W8" s="142">
        <v>2598</v>
      </c>
      <c r="X8" s="143">
        <v>97921.2</v>
      </c>
      <c r="Y8" s="143">
        <v>98798.81</v>
      </c>
      <c r="Z8" s="69" t="s">
        <v>3741</v>
      </c>
      <c r="AA8" s="82"/>
      <c r="AB8" s="82"/>
      <c r="AC8" s="69"/>
      <c r="AD8" s="82"/>
      <c r="AE8" s="82"/>
      <c r="AF8" s="82"/>
      <c r="AG8" s="95"/>
      <c r="AH8" s="95"/>
      <c r="AI8" s="69"/>
      <c r="AJ8" s="35"/>
      <c r="AK8" s="66"/>
      <c r="AL8" s="66"/>
      <c r="AM8" s="145">
        <f t="shared" si="0"/>
        <v>0</v>
      </c>
      <c r="AN8" s="146">
        <f t="shared" si="1"/>
        <v>0</v>
      </c>
      <c r="AO8" s="69"/>
    </row>
    <row r="9" spans="1:41" ht="12.75" customHeight="1">
      <c r="A9" s="215" t="s">
        <v>2414</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119">
        <f>AM4+AM5+AM6</f>
        <v>167935.9951872</v>
      </c>
      <c r="AN9" s="119">
        <f>AN4+AN5+AN6</f>
        <v>182155.59936</v>
      </c>
      <c r="AO9" s="69"/>
    </row>
    <row r="10" spans="1:43" ht="12.75" customHeight="1">
      <c r="A10" s="213" t="s">
        <v>2415</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73">
        <f>SUM(AM3:AM8)</f>
        <v>167935.9951872</v>
      </c>
      <c r="AN10" s="73">
        <f>SUM(AN3:AN8)</f>
        <v>182155.59936</v>
      </c>
      <c r="AO10" s="69"/>
      <c r="AP10" s="106"/>
      <c r="AQ10" s="106"/>
    </row>
    <row r="11" spans="1:41" ht="100.5" customHeight="1">
      <c r="A11" s="35">
        <v>7</v>
      </c>
      <c r="B11" s="35" t="s">
        <v>2</v>
      </c>
      <c r="C11" s="35" t="s">
        <v>2</v>
      </c>
      <c r="D11" s="35">
        <v>2</v>
      </c>
      <c r="E11" s="35" t="s">
        <v>476</v>
      </c>
      <c r="F11" s="35" t="s">
        <v>479</v>
      </c>
      <c r="G11" s="69" t="s">
        <v>2486</v>
      </c>
      <c r="H11" s="35" t="s">
        <v>4166</v>
      </c>
      <c r="I11" s="35" t="s">
        <v>4127</v>
      </c>
      <c r="J11" s="139">
        <v>29104391</v>
      </c>
      <c r="K11" s="35" t="s">
        <v>2438</v>
      </c>
      <c r="L11" s="35">
        <v>3447000</v>
      </c>
      <c r="M11" s="35" t="s">
        <v>3735</v>
      </c>
      <c r="N11" s="35" t="s">
        <v>4181</v>
      </c>
      <c r="O11" s="35">
        <v>3428</v>
      </c>
      <c r="P11" s="140">
        <v>43073</v>
      </c>
      <c r="Q11" s="140">
        <v>46724</v>
      </c>
      <c r="R11" s="62" t="s">
        <v>2440</v>
      </c>
      <c r="S11" s="62" t="s">
        <v>2441</v>
      </c>
      <c r="T11" s="35" t="s">
        <v>2443</v>
      </c>
      <c r="U11" s="142" t="s">
        <v>2917</v>
      </c>
      <c r="V11" s="142" t="s">
        <v>1812</v>
      </c>
      <c r="W11" s="142">
        <v>2591</v>
      </c>
      <c r="X11" s="143">
        <v>98174.09</v>
      </c>
      <c r="Y11" s="143">
        <v>98602.05</v>
      </c>
      <c r="Z11" s="69" t="s">
        <v>4067</v>
      </c>
      <c r="AA11" s="67">
        <v>43699</v>
      </c>
      <c r="AB11" s="147" t="s">
        <v>3923</v>
      </c>
      <c r="AC11" s="82">
        <v>149</v>
      </c>
      <c r="AD11" s="82">
        <v>200</v>
      </c>
      <c r="AE11" s="95">
        <v>46.59</v>
      </c>
      <c r="AF11" s="82">
        <v>24</v>
      </c>
      <c r="AG11" s="95">
        <f>AE11*AC11*AF11*0.0036</f>
        <v>599.7810240000001</v>
      </c>
      <c r="AH11" s="95">
        <f>AE11*AD11*AF11*0.0036</f>
        <v>805.0752</v>
      </c>
      <c r="AI11" s="82">
        <v>30</v>
      </c>
      <c r="AJ11" s="82">
        <v>12</v>
      </c>
      <c r="AK11" s="82">
        <v>0.58</v>
      </c>
      <c r="AL11" s="82">
        <v>0.71</v>
      </c>
      <c r="AM11" s="117">
        <f t="shared" si="0"/>
        <v>125234.27781120002</v>
      </c>
      <c r="AN11" s="118">
        <f t="shared" si="1"/>
        <v>205777.22112000003</v>
      </c>
      <c r="AO11" s="82" t="s">
        <v>2455</v>
      </c>
    </row>
    <row r="12" spans="1:41" s="8" customFormat="1" ht="85.5" customHeight="1">
      <c r="A12" s="35">
        <v>8</v>
      </c>
      <c r="B12" s="35" t="s">
        <v>2</v>
      </c>
      <c r="C12" s="35" t="s">
        <v>2</v>
      </c>
      <c r="D12" s="35">
        <v>2</v>
      </c>
      <c r="E12" s="35" t="s">
        <v>477</v>
      </c>
      <c r="F12" s="35" t="s">
        <v>478</v>
      </c>
      <c r="G12" s="69" t="s">
        <v>2486</v>
      </c>
      <c r="H12" s="35" t="s">
        <v>4166</v>
      </c>
      <c r="I12" s="35" t="s">
        <v>4127</v>
      </c>
      <c r="J12" s="139">
        <v>29104391</v>
      </c>
      <c r="K12" s="35" t="s">
        <v>2438</v>
      </c>
      <c r="L12" s="35">
        <v>3447000</v>
      </c>
      <c r="M12" s="35" t="s">
        <v>3735</v>
      </c>
      <c r="N12" s="35" t="s">
        <v>4181</v>
      </c>
      <c r="O12" s="35">
        <v>3428</v>
      </c>
      <c r="P12" s="140">
        <v>43073</v>
      </c>
      <c r="Q12" s="140">
        <v>46724</v>
      </c>
      <c r="R12" s="62" t="s">
        <v>2440</v>
      </c>
      <c r="S12" s="142" t="s">
        <v>2442</v>
      </c>
      <c r="T12" s="35" t="s">
        <v>2443</v>
      </c>
      <c r="U12" s="62" t="s">
        <v>2918</v>
      </c>
      <c r="V12" s="62" t="s">
        <v>1813</v>
      </c>
      <c r="W12" s="62">
        <v>2590</v>
      </c>
      <c r="X12" s="143">
        <v>98177.16</v>
      </c>
      <c r="Y12" s="143">
        <v>98577.07</v>
      </c>
      <c r="Z12" s="69" t="s">
        <v>3758</v>
      </c>
      <c r="AA12" s="67">
        <v>43480</v>
      </c>
      <c r="AB12" s="147">
        <v>0.4826388888888889</v>
      </c>
      <c r="AC12" s="69"/>
      <c r="AD12" s="93"/>
      <c r="AE12" s="93"/>
      <c r="AF12" s="93"/>
      <c r="AG12" s="93"/>
      <c r="AH12" s="93"/>
      <c r="AI12" s="93"/>
      <c r="AJ12" s="93"/>
      <c r="AK12" s="93"/>
      <c r="AL12" s="93"/>
      <c r="AM12" s="117">
        <f t="shared" si="0"/>
        <v>0</v>
      </c>
      <c r="AN12" s="118">
        <f t="shared" si="1"/>
        <v>0</v>
      </c>
      <c r="AO12" s="82" t="s">
        <v>2455</v>
      </c>
    </row>
    <row r="13" spans="1:41" s="8" customFormat="1" ht="20.25" customHeight="1">
      <c r="A13" s="35">
        <v>9</v>
      </c>
      <c r="B13" s="35" t="s">
        <v>2</v>
      </c>
      <c r="C13" s="35" t="s">
        <v>2</v>
      </c>
      <c r="D13" s="35">
        <v>2</v>
      </c>
      <c r="E13" s="35" t="s">
        <v>480</v>
      </c>
      <c r="F13" s="35" t="s">
        <v>481</v>
      </c>
      <c r="G13" s="69" t="s">
        <v>2486</v>
      </c>
      <c r="H13" s="35" t="s">
        <v>4166</v>
      </c>
      <c r="I13" s="35" t="s">
        <v>4127</v>
      </c>
      <c r="J13" s="139">
        <v>29104391</v>
      </c>
      <c r="K13" s="35" t="s">
        <v>2438</v>
      </c>
      <c r="L13" s="35">
        <v>3447000</v>
      </c>
      <c r="M13" s="35" t="s">
        <v>3735</v>
      </c>
      <c r="N13" s="35" t="s">
        <v>4181</v>
      </c>
      <c r="O13" s="35">
        <v>3428</v>
      </c>
      <c r="P13" s="140">
        <v>43073</v>
      </c>
      <c r="Q13" s="140">
        <v>46724</v>
      </c>
      <c r="R13" s="62" t="s">
        <v>2440</v>
      </c>
      <c r="S13" s="62" t="s">
        <v>2441</v>
      </c>
      <c r="T13" s="35" t="s">
        <v>2447</v>
      </c>
      <c r="U13" s="142" t="s">
        <v>2919</v>
      </c>
      <c r="V13" s="142" t="s">
        <v>1814</v>
      </c>
      <c r="W13" s="142">
        <v>2588</v>
      </c>
      <c r="X13" s="143">
        <v>98320.67</v>
      </c>
      <c r="Y13" s="143">
        <v>98594.64</v>
      </c>
      <c r="Z13" s="69" t="s">
        <v>3741</v>
      </c>
      <c r="AA13" s="82"/>
      <c r="AB13" s="82"/>
      <c r="AC13" s="82"/>
      <c r="AD13" s="82"/>
      <c r="AE13" s="82"/>
      <c r="AF13" s="82"/>
      <c r="AG13" s="95"/>
      <c r="AH13" s="95"/>
      <c r="AI13" s="69"/>
      <c r="AJ13" s="35"/>
      <c r="AK13" s="66"/>
      <c r="AL13" s="66"/>
      <c r="AM13" s="145">
        <f t="shared" si="0"/>
        <v>0</v>
      </c>
      <c r="AN13" s="146">
        <f t="shared" si="1"/>
        <v>0</v>
      </c>
      <c r="AO13" s="69"/>
    </row>
    <row r="14" spans="1:41" s="8" customFormat="1" ht="68.25" customHeight="1">
      <c r="A14" s="35">
        <v>10</v>
      </c>
      <c r="B14" s="35" t="s">
        <v>2</v>
      </c>
      <c r="C14" s="35" t="s">
        <v>2</v>
      </c>
      <c r="D14" s="35">
        <v>2</v>
      </c>
      <c r="E14" s="35" t="s">
        <v>482</v>
      </c>
      <c r="F14" s="35" t="s">
        <v>2053</v>
      </c>
      <c r="G14" s="69" t="s">
        <v>2488</v>
      </c>
      <c r="H14" s="35" t="s">
        <v>4166</v>
      </c>
      <c r="I14" s="35" t="s">
        <v>4127</v>
      </c>
      <c r="J14" s="139">
        <v>29104391</v>
      </c>
      <c r="K14" s="35" t="s">
        <v>2438</v>
      </c>
      <c r="L14" s="35">
        <v>3447000</v>
      </c>
      <c r="M14" s="35" t="s">
        <v>3735</v>
      </c>
      <c r="N14" s="35" t="s">
        <v>4181</v>
      </c>
      <c r="O14" s="35">
        <v>3428</v>
      </c>
      <c r="P14" s="140">
        <v>43073</v>
      </c>
      <c r="Q14" s="140">
        <v>46724</v>
      </c>
      <c r="R14" s="62" t="s">
        <v>2440</v>
      </c>
      <c r="S14" s="142" t="s">
        <v>2442</v>
      </c>
      <c r="T14" s="35" t="s">
        <v>2443</v>
      </c>
      <c r="U14" s="82" t="s">
        <v>2920</v>
      </c>
      <c r="V14" s="82" t="s">
        <v>1815</v>
      </c>
      <c r="W14" s="82">
        <v>2584</v>
      </c>
      <c r="X14" s="143">
        <v>98389.19</v>
      </c>
      <c r="Y14" s="143">
        <v>98499.97</v>
      </c>
      <c r="Z14" s="69" t="s">
        <v>3758</v>
      </c>
      <c r="AA14" s="67">
        <v>43480</v>
      </c>
      <c r="AB14" s="147">
        <v>0.525</v>
      </c>
      <c r="AC14" s="69"/>
      <c r="AD14" s="93"/>
      <c r="AE14" s="93"/>
      <c r="AF14" s="93"/>
      <c r="AG14" s="93"/>
      <c r="AH14" s="93"/>
      <c r="AI14" s="93"/>
      <c r="AJ14" s="93"/>
      <c r="AK14" s="93"/>
      <c r="AL14" s="93"/>
      <c r="AM14" s="117">
        <f t="shared" si="0"/>
        <v>0</v>
      </c>
      <c r="AN14" s="118">
        <f t="shared" si="1"/>
        <v>0</v>
      </c>
      <c r="AO14" s="82" t="s">
        <v>2455</v>
      </c>
    </row>
    <row r="15" spans="1:41" s="8" customFormat="1" ht="65.25" customHeight="1">
      <c r="A15" s="35">
        <v>11</v>
      </c>
      <c r="B15" s="35" t="s">
        <v>2</v>
      </c>
      <c r="C15" s="35" t="s">
        <v>2</v>
      </c>
      <c r="D15" s="35">
        <v>2</v>
      </c>
      <c r="E15" s="35" t="s">
        <v>483</v>
      </c>
      <c r="F15" s="35" t="s">
        <v>2054</v>
      </c>
      <c r="G15" s="69" t="s">
        <v>2488</v>
      </c>
      <c r="H15" s="35" t="s">
        <v>4166</v>
      </c>
      <c r="I15" s="35" t="s">
        <v>4127</v>
      </c>
      <c r="J15" s="139">
        <v>29104391</v>
      </c>
      <c r="K15" s="35" t="s">
        <v>2438</v>
      </c>
      <c r="L15" s="35">
        <v>3447000</v>
      </c>
      <c r="M15" s="35" t="s">
        <v>3735</v>
      </c>
      <c r="N15" s="35" t="s">
        <v>4181</v>
      </c>
      <c r="O15" s="35">
        <v>3428</v>
      </c>
      <c r="P15" s="140">
        <v>43073</v>
      </c>
      <c r="Q15" s="140">
        <v>46724</v>
      </c>
      <c r="R15" s="62" t="s">
        <v>2440</v>
      </c>
      <c r="S15" s="62" t="s">
        <v>2441</v>
      </c>
      <c r="T15" s="35" t="s">
        <v>2443</v>
      </c>
      <c r="U15" s="82" t="s">
        <v>2921</v>
      </c>
      <c r="V15" s="82" t="s">
        <v>1815</v>
      </c>
      <c r="W15" s="82">
        <v>2584</v>
      </c>
      <c r="X15" s="143">
        <v>98401.48</v>
      </c>
      <c r="Y15" s="143">
        <v>98499.96</v>
      </c>
      <c r="Z15" s="69" t="s">
        <v>3758</v>
      </c>
      <c r="AA15" s="67">
        <v>43480</v>
      </c>
      <c r="AB15" s="147">
        <v>0.525</v>
      </c>
      <c r="AC15" s="69"/>
      <c r="AD15" s="93"/>
      <c r="AE15" s="93"/>
      <c r="AF15" s="93"/>
      <c r="AG15" s="93"/>
      <c r="AH15" s="93"/>
      <c r="AI15" s="93"/>
      <c r="AJ15" s="93"/>
      <c r="AK15" s="93"/>
      <c r="AL15" s="93"/>
      <c r="AM15" s="117">
        <f t="shared" si="0"/>
        <v>0</v>
      </c>
      <c r="AN15" s="118">
        <f t="shared" si="1"/>
        <v>0</v>
      </c>
      <c r="AO15" s="82" t="s">
        <v>2455</v>
      </c>
    </row>
    <row r="16" spans="1:41" s="8" customFormat="1" ht="25.5">
      <c r="A16" s="35">
        <v>12</v>
      </c>
      <c r="B16" s="35" t="s">
        <v>2</v>
      </c>
      <c r="C16" s="35" t="s">
        <v>2</v>
      </c>
      <c r="D16" s="35">
        <v>2</v>
      </c>
      <c r="E16" s="35" t="s">
        <v>492</v>
      </c>
      <c r="F16" s="142" t="s">
        <v>494</v>
      </c>
      <c r="G16" s="69" t="s">
        <v>2488</v>
      </c>
      <c r="H16" s="35" t="s">
        <v>4166</v>
      </c>
      <c r="I16" s="35" t="s">
        <v>4127</v>
      </c>
      <c r="J16" s="139">
        <v>29104391</v>
      </c>
      <c r="K16" s="35" t="s">
        <v>2438</v>
      </c>
      <c r="L16" s="35">
        <v>3447000</v>
      </c>
      <c r="M16" s="35" t="s">
        <v>3735</v>
      </c>
      <c r="N16" s="35" t="s">
        <v>4181</v>
      </c>
      <c r="O16" s="35">
        <v>3428</v>
      </c>
      <c r="P16" s="140">
        <v>43073</v>
      </c>
      <c r="Q16" s="140">
        <v>46724</v>
      </c>
      <c r="R16" s="62" t="s">
        <v>2440</v>
      </c>
      <c r="S16" s="142" t="s">
        <v>2442</v>
      </c>
      <c r="T16" s="35" t="s">
        <v>2443</v>
      </c>
      <c r="U16" s="142" t="s">
        <v>2923</v>
      </c>
      <c r="V16" s="142" t="s">
        <v>495</v>
      </c>
      <c r="W16" s="142">
        <v>2582</v>
      </c>
      <c r="X16" s="143">
        <v>98421.13</v>
      </c>
      <c r="Y16" s="143">
        <v>98240.94</v>
      </c>
      <c r="Z16" s="69" t="s">
        <v>3741</v>
      </c>
      <c r="AA16" s="82"/>
      <c r="AB16" s="82"/>
      <c r="AC16" s="82"/>
      <c r="AD16" s="82"/>
      <c r="AE16" s="82"/>
      <c r="AF16" s="82"/>
      <c r="AG16" s="95"/>
      <c r="AH16" s="95"/>
      <c r="AI16" s="69"/>
      <c r="AJ16" s="35"/>
      <c r="AK16" s="66"/>
      <c r="AL16" s="66"/>
      <c r="AM16" s="145">
        <f t="shared" si="0"/>
        <v>0</v>
      </c>
      <c r="AN16" s="146">
        <f t="shared" si="1"/>
        <v>0</v>
      </c>
      <c r="AO16" s="69"/>
    </row>
    <row r="17" spans="1:41" s="8" customFormat="1" ht="25.5">
      <c r="A17" s="35">
        <v>13</v>
      </c>
      <c r="B17" s="35" t="s">
        <v>2</v>
      </c>
      <c r="C17" s="35" t="s">
        <v>2</v>
      </c>
      <c r="D17" s="35">
        <v>2</v>
      </c>
      <c r="E17" s="35" t="s">
        <v>493</v>
      </c>
      <c r="F17" s="142" t="s">
        <v>2055</v>
      </c>
      <c r="G17" s="69" t="s">
        <v>2488</v>
      </c>
      <c r="H17" s="35" t="s">
        <v>4166</v>
      </c>
      <c r="I17" s="35" t="s">
        <v>4127</v>
      </c>
      <c r="J17" s="139">
        <v>29104391</v>
      </c>
      <c r="K17" s="35" t="s">
        <v>2438</v>
      </c>
      <c r="L17" s="35">
        <v>3447000</v>
      </c>
      <c r="M17" s="35" t="s">
        <v>3735</v>
      </c>
      <c r="N17" s="35" t="s">
        <v>4181</v>
      </c>
      <c r="O17" s="35">
        <v>3428</v>
      </c>
      <c r="P17" s="140">
        <v>43073</v>
      </c>
      <c r="Q17" s="140">
        <v>46724</v>
      </c>
      <c r="R17" s="62" t="s">
        <v>2440</v>
      </c>
      <c r="S17" s="142" t="s">
        <v>2442</v>
      </c>
      <c r="T17" s="35" t="s">
        <v>2443</v>
      </c>
      <c r="U17" s="142" t="s">
        <v>2922</v>
      </c>
      <c r="V17" s="142" t="s">
        <v>496</v>
      </c>
      <c r="W17" s="142">
        <v>2578</v>
      </c>
      <c r="X17" s="143">
        <v>98723.48</v>
      </c>
      <c r="Y17" s="143">
        <v>97990.84</v>
      </c>
      <c r="Z17" s="69" t="s">
        <v>3741</v>
      </c>
      <c r="AA17" s="82"/>
      <c r="AB17" s="82"/>
      <c r="AC17" s="82"/>
      <c r="AD17" s="82"/>
      <c r="AE17" s="82"/>
      <c r="AF17" s="82"/>
      <c r="AG17" s="95"/>
      <c r="AH17" s="95"/>
      <c r="AI17" s="69"/>
      <c r="AJ17" s="35"/>
      <c r="AK17" s="66"/>
      <c r="AL17" s="66"/>
      <c r="AM17" s="145">
        <f t="shared" si="0"/>
        <v>0</v>
      </c>
      <c r="AN17" s="146">
        <f t="shared" si="1"/>
        <v>0</v>
      </c>
      <c r="AO17" s="69"/>
    </row>
    <row r="18" spans="1:41" s="8" customFormat="1" ht="75.75" customHeight="1">
      <c r="A18" s="35">
        <v>14</v>
      </c>
      <c r="B18" s="35" t="s">
        <v>2</v>
      </c>
      <c r="C18" s="35" t="s">
        <v>2</v>
      </c>
      <c r="D18" s="35">
        <v>2</v>
      </c>
      <c r="E18" s="35" t="s">
        <v>484</v>
      </c>
      <c r="F18" s="142" t="s">
        <v>497</v>
      </c>
      <c r="G18" s="69" t="s">
        <v>2488</v>
      </c>
      <c r="H18" s="35" t="s">
        <v>4166</v>
      </c>
      <c r="I18" s="35" t="s">
        <v>4127</v>
      </c>
      <c r="J18" s="139">
        <v>29104391</v>
      </c>
      <c r="K18" s="35" t="s">
        <v>2438</v>
      </c>
      <c r="L18" s="35">
        <v>3447000</v>
      </c>
      <c r="M18" s="35" t="s">
        <v>3735</v>
      </c>
      <c r="N18" s="35" t="s">
        <v>4181</v>
      </c>
      <c r="O18" s="35">
        <v>3428</v>
      </c>
      <c r="P18" s="140">
        <v>43073</v>
      </c>
      <c r="Q18" s="140">
        <v>46724</v>
      </c>
      <c r="R18" s="62" t="s">
        <v>2440</v>
      </c>
      <c r="S18" s="62" t="s">
        <v>2441</v>
      </c>
      <c r="T18" s="35" t="s">
        <v>2443</v>
      </c>
      <c r="U18" s="142" t="s">
        <v>2924</v>
      </c>
      <c r="V18" s="142" t="s">
        <v>1816</v>
      </c>
      <c r="W18" s="142">
        <v>2572</v>
      </c>
      <c r="X18" s="143">
        <v>99405.64</v>
      </c>
      <c r="Y18" s="143">
        <v>97488.16</v>
      </c>
      <c r="Z18" s="69" t="s">
        <v>3924</v>
      </c>
      <c r="AA18" s="67">
        <v>43132</v>
      </c>
      <c r="AB18" s="147">
        <v>0.4583333333333333</v>
      </c>
      <c r="AC18" s="69"/>
      <c r="AD18" s="93"/>
      <c r="AE18" s="93"/>
      <c r="AF18" s="93"/>
      <c r="AG18" s="93"/>
      <c r="AH18" s="93"/>
      <c r="AI18" s="93"/>
      <c r="AJ18" s="93"/>
      <c r="AK18" s="93"/>
      <c r="AL18" s="93"/>
      <c r="AM18" s="117">
        <f t="shared" si="0"/>
        <v>0</v>
      </c>
      <c r="AN18" s="118">
        <f t="shared" si="1"/>
        <v>0</v>
      </c>
      <c r="AO18" s="82" t="s">
        <v>2455</v>
      </c>
    </row>
    <row r="19" spans="1:41" s="8" customFormat="1" ht="51">
      <c r="A19" s="35">
        <v>15</v>
      </c>
      <c r="B19" s="35" t="s">
        <v>2</v>
      </c>
      <c r="C19" s="35" t="s">
        <v>2</v>
      </c>
      <c r="D19" s="35">
        <v>2</v>
      </c>
      <c r="E19" s="35" t="s">
        <v>498</v>
      </c>
      <c r="F19" s="142" t="s">
        <v>500</v>
      </c>
      <c r="G19" s="69" t="s">
        <v>2488</v>
      </c>
      <c r="H19" s="35" t="s">
        <v>4166</v>
      </c>
      <c r="I19" s="35" t="s">
        <v>4127</v>
      </c>
      <c r="J19" s="139">
        <v>29104391</v>
      </c>
      <c r="K19" s="35" t="s">
        <v>2438</v>
      </c>
      <c r="L19" s="35">
        <v>3447000</v>
      </c>
      <c r="M19" s="35" t="s">
        <v>3735</v>
      </c>
      <c r="N19" s="35" t="s">
        <v>4181</v>
      </c>
      <c r="O19" s="35">
        <v>3428</v>
      </c>
      <c r="P19" s="140">
        <v>43073</v>
      </c>
      <c r="Q19" s="140">
        <v>46724</v>
      </c>
      <c r="R19" s="62" t="s">
        <v>2440</v>
      </c>
      <c r="S19" s="142" t="s">
        <v>2442</v>
      </c>
      <c r="T19" s="35" t="s">
        <v>2443</v>
      </c>
      <c r="U19" s="142" t="s">
        <v>2925</v>
      </c>
      <c r="V19" s="142" t="s">
        <v>1817</v>
      </c>
      <c r="W19" s="142">
        <v>2571</v>
      </c>
      <c r="X19" s="143">
        <v>99482.16</v>
      </c>
      <c r="Y19" s="143">
        <v>97403.67</v>
      </c>
      <c r="Z19" s="69" t="s">
        <v>3758</v>
      </c>
      <c r="AA19" s="67">
        <v>43480</v>
      </c>
      <c r="AB19" s="147">
        <v>0.4930555555555556</v>
      </c>
      <c r="AC19" s="69"/>
      <c r="AD19" s="93"/>
      <c r="AE19" s="93"/>
      <c r="AF19" s="93"/>
      <c r="AG19" s="93"/>
      <c r="AH19" s="93"/>
      <c r="AI19" s="93"/>
      <c r="AJ19" s="93"/>
      <c r="AK19" s="93"/>
      <c r="AL19" s="93"/>
      <c r="AM19" s="117">
        <f t="shared" si="0"/>
        <v>0</v>
      </c>
      <c r="AN19" s="118">
        <f t="shared" si="1"/>
        <v>0</v>
      </c>
      <c r="AO19" s="82" t="s">
        <v>2455</v>
      </c>
    </row>
    <row r="20" spans="1:41" s="8" customFormat="1" ht="25.5">
      <c r="A20" s="35">
        <v>16</v>
      </c>
      <c r="B20" s="35" t="s">
        <v>2</v>
      </c>
      <c r="C20" s="35" t="s">
        <v>2</v>
      </c>
      <c r="D20" s="35">
        <v>2</v>
      </c>
      <c r="E20" s="35" t="s">
        <v>499</v>
      </c>
      <c r="F20" s="142" t="s">
        <v>501</v>
      </c>
      <c r="G20" s="69" t="s">
        <v>2488</v>
      </c>
      <c r="H20" s="35" t="s">
        <v>4166</v>
      </c>
      <c r="I20" s="35" t="s">
        <v>4127</v>
      </c>
      <c r="J20" s="139">
        <v>29104391</v>
      </c>
      <c r="K20" s="35" t="s">
        <v>2438</v>
      </c>
      <c r="L20" s="35">
        <v>3447000</v>
      </c>
      <c r="M20" s="35" t="s">
        <v>3735</v>
      </c>
      <c r="N20" s="35" t="s">
        <v>4181</v>
      </c>
      <c r="O20" s="35">
        <v>3428</v>
      </c>
      <c r="P20" s="140">
        <v>43073</v>
      </c>
      <c r="Q20" s="140">
        <v>46724</v>
      </c>
      <c r="R20" s="62" t="s">
        <v>2440</v>
      </c>
      <c r="S20" s="142" t="s">
        <v>2442</v>
      </c>
      <c r="T20" s="35" t="s">
        <v>2443</v>
      </c>
      <c r="U20" s="142" t="s">
        <v>2926</v>
      </c>
      <c r="V20" s="142" t="s">
        <v>1818</v>
      </c>
      <c r="W20" s="142">
        <v>2571</v>
      </c>
      <c r="X20" s="143">
        <v>99531.01</v>
      </c>
      <c r="Y20" s="143">
        <v>97369.74</v>
      </c>
      <c r="Z20" s="69" t="s">
        <v>3741</v>
      </c>
      <c r="AA20" s="82"/>
      <c r="AB20" s="82"/>
      <c r="AC20" s="82"/>
      <c r="AD20" s="82"/>
      <c r="AE20" s="82"/>
      <c r="AF20" s="82"/>
      <c r="AG20" s="95"/>
      <c r="AH20" s="95"/>
      <c r="AI20" s="69"/>
      <c r="AJ20" s="35"/>
      <c r="AK20" s="66"/>
      <c r="AL20" s="66"/>
      <c r="AM20" s="145">
        <f t="shared" si="0"/>
        <v>0</v>
      </c>
      <c r="AN20" s="146">
        <f t="shared" si="1"/>
        <v>0</v>
      </c>
      <c r="AO20" s="69"/>
    </row>
    <row r="21" spans="1:41" ht="51">
      <c r="A21" s="35">
        <v>17</v>
      </c>
      <c r="B21" s="35" t="s">
        <v>2</v>
      </c>
      <c r="C21" s="35" t="s">
        <v>2</v>
      </c>
      <c r="D21" s="35">
        <v>2</v>
      </c>
      <c r="E21" s="35" t="s">
        <v>485</v>
      </c>
      <c r="F21" s="35" t="s">
        <v>502</v>
      </c>
      <c r="G21" s="69" t="s">
        <v>2488</v>
      </c>
      <c r="H21" s="35" t="s">
        <v>4166</v>
      </c>
      <c r="I21" s="35" t="s">
        <v>4127</v>
      </c>
      <c r="J21" s="139">
        <v>29104391</v>
      </c>
      <c r="K21" s="35" t="s">
        <v>2438</v>
      </c>
      <c r="L21" s="35">
        <v>3447000</v>
      </c>
      <c r="M21" s="35" t="s">
        <v>3735</v>
      </c>
      <c r="N21" s="35" t="s">
        <v>4181</v>
      </c>
      <c r="O21" s="35">
        <v>3428</v>
      </c>
      <c r="P21" s="140">
        <v>43073</v>
      </c>
      <c r="Q21" s="140">
        <v>46724</v>
      </c>
      <c r="R21" s="62" t="s">
        <v>2440</v>
      </c>
      <c r="S21" s="62" t="s">
        <v>2441</v>
      </c>
      <c r="T21" s="35" t="s">
        <v>2443</v>
      </c>
      <c r="U21" s="82" t="s">
        <v>2927</v>
      </c>
      <c r="V21" s="82" t="s">
        <v>1819</v>
      </c>
      <c r="W21" s="82">
        <v>2566</v>
      </c>
      <c r="X21" s="143">
        <v>99830.3</v>
      </c>
      <c r="Y21" s="143">
        <v>97130.75</v>
      </c>
      <c r="Z21" s="69" t="s">
        <v>3758</v>
      </c>
      <c r="AA21" s="67">
        <v>43480</v>
      </c>
      <c r="AB21" s="147">
        <v>0.6222222222222222</v>
      </c>
      <c r="AC21" s="69"/>
      <c r="AD21" s="93"/>
      <c r="AE21" s="93"/>
      <c r="AF21" s="93"/>
      <c r="AG21" s="93"/>
      <c r="AH21" s="93"/>
      <c r="AI21" s="93"/>
      <c r="AJ21" s="93"/>
      <c r="AK21" s="93"/>
      <c r="AL21" s="93"/>
      <c r="AM21" s="117">
        <f t="shared" si="0"/>
        <v>0</v>
      </c>
      <c r="AN21" s="118">
        <f t="shared" si="1"/>
        <v>0</v>
      </c>
      <c r="AO21" s="82" t="s">
        <v>2455</v>
      </c>
    </row>
    <row r="22" spans="1:41" ht="51">
      <c r="A22" s="35">
        <v>18</v>
      </c>
      <c r="B22" s="35" t="s">
        <v>2</v>
      </c>
      <c r="C22" s="35" t="s">
        <v>2</v>
      </c>
      <c r="D22" s="35">
        <v>2</v>
      </c>
      <c r="E22" s="35" t="s">
        <v>486</v>
      </c>
      <c r="F22" s="35" t="s">
        <v>2056</v>
      </c>
      <c r="G22" s="69" t="s">
        <v>2488</v>
      </c>
      <c r="H22" s="35" t="s">
        <v>4166</v>
      </c>
      <c r="I22" s="35" t="s">
        <v>4127</v>
      </c>
      <c r="J22" s="139">
        <v>29104391</v>
      </c>
      <c r="K22" s="35" t="s">
        <v>2438</v>
      </c>
      <c r="L22" s="35">
        <v>3447000</v>
      </c>
      <c r="M22" s="35" t="s">
        <v>3735</v>
      </c>
      <c r="N22" s="35" t="s">
        <v>4181</v>
      </c>
      <c r="O22" s="35">
        <v>3428</v>
      </c>
      <c r="P22" s="140">
        <v>43073</v>
      </c>
      <c r="Q22" s="140">
        <v>46724</v>
      </c>
      <c r="R22" s="62" t="s">
        <v>2440</v>
      </c>
      <c r="S22" s="142" t="s">
        <v>2442</v>
      </c>
      <c r="T22" s="35" t="s">
        <v>2443</v>
      </c>
      <c r="U22" s="142" t="s">
        <v>2928</v>
      </c>
      <c r="V22" s="142" t="s">
        <v>1820</v>
      </c>
      <c r="W22" s="142">
        <v>2567</v>
      </c>
      <c r="X22" s="143">
        <v>99861.03</v>
      </c>
      <c r="Y22" s="143">
        <v>97041.32</v>
      </c>
      <c r="Z22" s="69" t="s">
        <v>3758</v>
      </c>
      <c r="AA22" s="67">
        <v>43480</v>
      </c>
      <c r="AB22" s="147">
        <v>0.6243055555555556</v>
      </c>
      <c r="AC22" s="69"/>
      <c r="AD22" s="93"/>
      <c r="AE22" s="93"/>
      <c r="AF22" s="93"/>
      <c r="AG22" s="93"/>
      <c r="AH22" s="93"/>
      <c r="AI22" s="93"/>
      <c r="AJ22" s="93"/>
      <c r="AK22" s="93"/>
      <c r="AL22" s="93"/>
      <c r="AM22" s="117">
        <f t="shared" si="0"/>
        <v>0</v>
      </c>
      <c r="AN22" s="118">
        <f t="shared" si="1"/>
        <v>0</v>
      </c>
      <c r="AO22" s="82" t="s">
        <v>2455</v>
      </c>
    </row>
    <row r="23" spans="1:41" ht="51">
      <c r="A23" s="35">
        <v>19</v>
      </c>
      <c r="B23" s="35" t="s">
        <v>2</v>
      </c>
      <c r="C23" s="35" t="s">
        <v>2</v>
      </c>
      <c r="D23" s="35">
        <v>2</v>
      </c>
      <c r="E23" s="35" t="s">
        <v>503</v>
      </c>
      <c r="F23" s="35" t="s">
        <v>2057</v>
      </c>
      <c r="G23" s="69" t="s">
        <v>2489</v>
      </c>
      <c r="H23" s="35" t="s">
        <v>4166</v>
      </c>
      <c r="I23" s="35" t="s">
        <v>4127</v>
      </c>
      <c r="J23" s="139">
        <v>29104391</v>
      </c>
      <c r="K23" s="35" t="s">
        <v>2438</v>
      </c>
      <c r="L23" s="35">
        <v>3447000</v>
      </c>
      <c r="M23" s="35" t="s">
        <v>3735</v>
      </c>
      <c r="N23" s="35" t="s">
        <v>4181</v>
      </c>
      <c r="O23" s="35">
        <v>3428</v>
      </c>
      <c r="P23" s="140">
        <v>43073</v>
      </c>
      <c r="Q23" s="140">
        <v>46724</v>
      </c>
      <c r="R23" s="62" t="s">
        <v>2440</v>
      </c>
      <c r="S23" s="62" t="s">
        <v>2441</v>
      </c>
      <c r="T23" s="35" t="s">
        <v>2443</v>
      </c>
      <c r="U23" s="142" t="s">
        <v>2929</v>
      </c>
      <c r="V23" s="142" t="s">
        <v>1821</v>
      </c>
      <c r="W23" s="82">
        <v>2566</v>
      </c>
      <c r="X23" s="143">
        <v>100186.72</v>
      </c>
      <c r="Y23" s="143">
        <v>96376.18</v>
      </c>
      <c r="Z23" s="69" t="s">
        <v>3758</v>
      </c>
      <c r="AA23" s="67">
        <v>43481</v>
      </c>
      <c r="AB23" s="147">
        <v>0.44097222222222227</v>
      </c>
      <c r="AC23" s="69"/>
      <c r="AD23" s="93"/>
      <c r="AE23" s="93"/>
      <c r="AF23" s="93"/>
      <c r="AG23" s="93"/>
      <c r="AH23" s="93"/>
      <c r="AI23" s="93"/>
      <c r="AJ23" s="93"/>
      <c r="AK23" s="93"/>
      <c r="AL23" s="93"/>
      <c r="AM23" s="117">
        <f t="shared" si="0"/>
        <v>0</v>
      </c>
      <c r="AN23" s="118">
        <f t="shared" si="1"/>
        <v>0</v>
      </c>
      <c r="AO23" s="82" t="s">
        <v>2455</v>
      </c>
    </row>
    <row r="24" spans="1:41" ht="25.5">
      <c r="A24" s="35">
        <v>20</v>
      </c>
      <c r="B24" s="35" t="s">
        <v>2</v>
      </c>
      <c r="C24" s="35" t="s">
        <v>2</v>
      </c>
      <c r="D24" s="35">
        <v>2</v>
      </c>
      <c r="E24" s="35" t="s">
        <v>504</v>
      </c>
      <c r="F24" s="142" t="s">
        <v>2058</v>
      </c>
      <c r="G24" s="69" t="s">
        <v>2489</v>
      </c>
      <c r="H24" s="35" t="s">
        <v>4166</v>
      </c>
      <c r="I24" s="35" t="s">
        <v>4127</v>
      </c>
      <c r="J24" s="139">
        <v>29104391</v>
      </c>
      <c r="K24" s="35" t="s">
        <v>2438</v>
      </c>
      <c r="L24" s="35">
        <v>3447000</v>
      </c>
      <c r="M24" s="35" t="s">
        <v>3735</v>
      </c>
      <c r="N24" s="35" t="s">
        <v>4181</v>
      </c>
      <c r="O24" s="35">
        <v>3428</v>
      </c>
      <c r="P24" s="140">
        <v>43073</v>
      </c>
      <c r="Q24" s="140">
        <v>46724</v>
      </c>
      <c r="R24" s="62" t="s">
        <v>2440</v>
      </c>
      <c r="S24" s="62" t="s">
        <v>2441</v>
      </c>
      <c r="T24" s="35" t="s">
        <v>2443</v>
      </c>
      <c r="U24" s="142" t="s">
        <v>2930</v>
      </c>
      <c r="V24" s="142" t="s">
        <v>1822</v>
      </c>
      <c r="W24" s="142">
        <v>2568</v>
      </c>
      <c r="X24" s="143">
        <v>100242.34</v>
      </c>
      <c r="Y24" s="143">
        <v>96251.91</v>
      </c>
      <c r="Z24" s="69" t="s">
        <v>3741</v>
      </c>
      <c r="AA24" s="82"/>
      <c r="AB24" s="82"/>
      <c r="AC24" s="82"/>
      <c r="AD24" s="82"/>
      <c r="AE24" s="82"/>
      <c r="AF24" s="82"/>
      <c r="AG24" s="95"/>
      <c r="AH24" s="95"/>
      <c r="AI24" s="69"/>
      <c r="AJ24" s="35"/>
      <c r="AK24" s="66"/>
      <c r="AL24" s="66"/>
      <c r="AM24" s="145">
        <f t="shared" si="0"/>
        <v>0</v>
      </c>
      <c r="AN24" s="146">
        <f t="shared" si="1"/>
        <v>0</v>
      </c>
      <c r="AO24" s="69"/>
    </row>
    <row r="25" spans="1:41" ht="25.5">
      <c r="A25" s="35">
        <v>21</v>
      </c>
      <c r="B25" s="35" t="s">
        <v>2</v>
      </c>
      <c r="C25" s="35" t="s">
        <v>2</v>
      </c>
      <c r="D25" s="35">
        <v>2</v>
      </c>
      <c r="E25" s="35" t="s">
        <v>505</v>
      </c>
      <c r="F25" s="142" t="s">
        <v>2061</v>
      </c>
      <c r="G25" s="69" t="s">
        <v>2489</v>
      </c>
      <c r="H25" s="35" t="s">
        <v>4166</v>
      </c>
      <c r="I25" s="35" t="s">
        <v>4127</v>
      </c>
      <c r="J25" s="139">
        <v>29104391</v>
      </c>
      <c r="K25" s="35" t="s">
        <v>2438</v>
      </c>
      <c r="L25" s="35">
        <v>3447000</v>
      </c>
      <c r="M25" s="35" t="s">
        <v>3735</v>
      </c>
      <c r="N25" s="35" t="s">
        <v>4181</v>
      </c>
      <c r="O25" s="35">
        <v>3428</v>
      </c>
      <c r="P25" s="140">
        <v>43073</v>
      </c>
      <c r="Q25" s="140">
        <v>46724</v>
      </c>
      <c r="R25" s="62" t="s">
        <v>2440</v>
      </c>
      <c r="S25" s="142" t="s">
        <v>2442</v>
      </c>
      <c r="T25" s="35" t="s">
        <v>2443</v>
      </c>
      <c r="U25" s="142" t="s">
        <v>2931</v>
      </c>
      <c r="V25" s="142" t="s">
        <v>1823</v>
      </c>
      <c r="W25" s="142">
        <v>2567</v>
      </c>
      <c r="X25" s="143">
        <v>100269.07</v>
      </c>
      <c r="Y25" s="143">
        <v>96150.15</v>
      </c>
      <c r="Z25" s="69" t="s">
        <v>3741</v>
      </c>
      <c r="AA25" s="82"/>
      <c r="AB25" s="82"/>
      <c r="AC25" s="82"/>
      <c r="AD25" s="82"/>
      <c r="AE25" s="82"/>
      <c r="AF25" s="82"/>
      <c r="AG25" s="95"/>
      <c r="AH25" s="95"/>
      <c r="AI25" s="69"/>
      <c r="AJ25" s="35"/>
      <c r="AK25" s="66"/>
      <c r="AL25" s="66"/>
      <c r="AM25" s="145">
        <f t="shared" si="0"/>
        <v>0</v>
      </c>
      <c r="AN25" s="146">
        <f t="shared" si="1"/>
        <v>0</v>
      </c>
      <c r="AO25" s="69"/>
    </row>
    <row r="26" spans="1:41" ht="25.5">
      <c r="A26" s="35">
        <v>22</v>
      </c>
      <c r="B26" s="35" t="s">
        <v>2</v>
      </c>
      <c r="C26" s="35" t="s">
        <v>2</v>
      </c>
      <c r="D26" s="35">
        <v>2</v>
      </c>
      <c r="E26" s="35" t="s">
        <v>506</v>
      </c>
      <c r="F26" s="142" t="s">
        <v>2059</v>
      </c>
      <c r="G26" s="69" t="s">
        <v>2489</v>
      </c>
      <c r="H26" s="35" t="s">
        <v>4166</v>
      </c>
      <c r="I26" s="35" t="s">
        <v>4127</v>
      </c>
      <c r="J26" s="139">
        <v>29104391</v>
      </c>
      <c r="K26" s="35" t="s">
        <v>2438</v>
      </c>
      <c r="L26" s="35">
        <v>3447000</v>
      </c>
      <c r="M26" s="35" t="s">
        <v>3735</v>
      </c>
      <c r="N26" s="35" t="s">
        <v>4181</v>
      </c>
      <c r="O26" s="35">
        <v>3428</v>
      </c>
      <c r="P26" s="140">
        <v>43073</v>
      </c>
      <c r="Q26" s="140">
        <v>46724</v>
      </c>
      <c r="R26" s="62" t="s">
        <v>2440</v>
      </c>
      <c r="S26" s="62" t="s">
        <v>2441</v>
      </c>
      <c r="T26" s="35" t="s">
        <v>2443</v>
      </c>
      <c r="U26" s="142" t="s">
        <v>2932</v>
      </c>
      <c r="V26" s="142" t="s">
        <v>1824</v>
      </c>
      <c r="W26" s="142">
        <v>2564</v>
      </c>
      <c r="X26" s="143">
        <v>100313.32</v>
      </c>
      <c r="Y26" s="143">
        <v>96108.52</v>
      </c>
      <c r="Z26" s="69" t="s">
        <v>3741</v>
      </c>
      <c r="AA26" s="82"/>
      <c r="AB26" s="82"/>
      <c r="AC26" s="82"/>
      <c r="AD26" s="82"/>
      <c r="AE26" s="82"/>
      <c r="AF26" s="82"/>
      <c r="AG26" s="95"/>
      <c r="AH26" s="95"/>
      <c r="AI26" s="69"/>
      <c r="AJ26" s="35"/>
      <c r="AK26" s="66"/>
      <c r="AL26" s="66"/>
      <c r="AM26" s="145">
        <f t="shared" si="0"/>
        <v>0</v>
      </c>
      <c r="AN26" s="146">
        <f t="shared" si="1"/>
        <v>0</v>
      </c>
      <c r="AO26" s="69"/>
    </row>
    <row r="27" spans="1:41" ht="68.25" customHeight="1">
      <c r="A27" s="35">
        <v>23</v>
      </c>
      <c r="B27" s="35" t="s">
        <v>2</v>
      </c>
      <c r="C27" s="35" t="s">
        <v>2</v>
      </c>
      <c r="D27" s="35">
        <v>2</v>
      </c>
      <c r="E27" s="35" t="s">
        <v>487</v>
      </c>
      <c r="F27" s="35" t="s">
        <v>2060</v>
      </c>
      <c r="G27" s="69" t="s">
        <v>2489</v>
      </c>
      <c r="H27" s="35" t="s">
        <v>4166</v>
      </c>
      <c r="I27" s="35" t="s">
        <v>4127</v>
      </c>
      <c r="J27" s="139">
        <v>29104391</v>
      </c>
      <c r="K27" s="35" t="s">
        <v>2438</v>
      </c>
      <c r="L27" s="35">
        <v>3447000</v>
      </c>
      <c r="M27" s="35" t="s">
        <v>3735</v>
      </c>
      <c r="N27" s="35" t="s">
        <v>4181</v>
      </c>
      <c r="O27" s="35">
        <v>3428</v>
      </c>
      <c r="P27" s="140">
        <v>43073</v>
      </c>
      <c r="Q27" s="140">
        <v>46724</v>
      </c>
      <c r="R27" s="62" t="s">
        <v>2440</v>
      </c>
      <c r="S27" s="62" t="s">
        <v>2441</v>
      </c>
      <c r="T27" s="35" t="s">
        <v>2443</v>
      </c>
      <c r="U27" s="142" t="s">
        <v>2933</v>
      </c>
      <c r="V27" s="142" t="s">
        <v>512</v>
      </c>
      <c r="W27" s="142">
        <v>2562</v>
      </c>
      <c r="X27" s="143">
        <v>100367.39</v>
      </c>
      <c r="Y27" s="143">
        <v>95993.2</v>
      </c>
      <c r="Z27" s="69" t="s">
        <v>3925</v>
      </c>
      <c r="AA27" s="67">
        <v>43133</v>
      </c>
      <c r="AB27" s="69" t="s">
        <v>2458</v>
      </c>
      <c r="AC27" s="82"/>
      <c r="AD27" s="82"/>
      <c r="AE27" s="82"/>
      <c r="AF27" s="82"/>
      <c r="AG27" s="95"/>
      <c r="AH27" s="95"/>
      <c r="AI27" s="69"/>
      <c r="AJ27" s="35"/>
      <c r="AK27" s="69"/>
      <c r="AL27" s="69"/>
      <c r="AM27" s="117">
        <v>9222.163262166701</v>
      </c>
      <c r="AN27" s="118">
        <v>2626.7945083516015</v>
      </c>
      <c r="AO27" s="82" t="s">
        <v>2413</v>
      </c>
    </row>
    <row r="28" spans="1:41" ht="25.5">
      <c r="A28" s="35">
        <v>24</v>
      </c>
      <c r="B28" s="35" t="s">
        <v>2</v>
      </c>
      <c r="C28" s="35" t="s">
        <v>2</v>
      </c>
      <c r="D28" s="35">
        <v>2</v>
      </c>
      <c r="E28" s="35" t="s">
        <v>513</v>
      </c>
      <c r="F28" s="142" t="s">
        <v>2062</v>
      </c>
      <c r="G28" s="69" t="s">
        <v>2489</v>
      </c>
      <c r="H28" s="35" t="s">
        <v>4166</v>
      </c>
      <c r="I28" s="35" t="s">
        <v>4127</v>
      </c>
      <c r="J28" s="139">
        <v>29104391</v>
      </c>
      <c r="K28" s="35" t="s">
        <v>2438</v>
      </c>
      <c r="L28" s="35">
        <v>3447000</v>
      </c>
      <c r="M28" s="35" t="s">
        <v>3735</v>
      </c>
      <c r="N28" s="35" t="s">
        <v>4181</v>
      </c>
      <c r="O28" s="35">
        <v>3428</v>
      </c>
      <c r="P28" s="140">
        <v>43073</v>
      </c>
      <c r="Q28" s="140">
        <v>46724</v>
      </c>
      <c r="R28" s="62" t="s">
        <v>2440</v>
      </c>
      <c r="S28" s="142" t="s">
        <v>2442</v>
      </c>
      <c r="T28" s="35" t="s">
        <v>2443</v>
      </c>
      <c r="U28" s="142" t="s">
        <v>2934</v>
      </c>
      <c r="V28" s="142" t="s">
        <v>515</v>
      </c>
      <c r="W28" s="142">
        <v>2559</v>
      </c>
      <c r="X28" s="82">
        <v>100568.969</v>
      </c>
      <c r="Y28" s="82">
        <v>95666.644</v>
      </c>
      <c r="Z28" s="69" t="s">
        <v>3741</v>
      </c>
      <c r="AA28" s="82"/>
      <c r="AB28" s="82"/>
      <c r="AC28" s="82"/>
      <c r="AD28" s="82"/>
      <c r="AE28" s="82"/>
      <c r="AF28" s="82"/>
      <c r="AG28" s="95"/>
      <c r="AH28" s="95"/>
      <c r="AI28" s="69"/>
      <c r="AJ28" s="35"/>
      <c r="AK28" s="66"/>
      <c r="AL28" s="66"/>
      <c r="AM28" s="145">
        <f t="shared" si="0"/>
        <v>0</v>
      </c>
      <c r="AN28" s="146">
        <f t="shared" si="1"/>
        <v>0</v>
      </c>
      <c r="AO28" s="69"/>
    </row>
    <row r="29" spans="1:41" ht="25.5">
      <c r="A29" s="35">
        <v>25</v>
      </c>
      <c r="B29" s="35" t="s">
        <v>2</v>
      </c>
      <c r="C29" s="35" t="s">
        <v>2</v>
      </c>
      <c r="D29" s="35">
        <v>2</v>
      </c>
      <c r="E29" s="35" t="s">
        <v>514</v>
      </c>
      <c r="F29" s="142" t="s">
        <v>2063</v>
      </c>
      <c r="G29" s="69" t="s">
        <v>2489</v>
      </c>
      <c r="H29" s="35" t="s">
        <v>4166</v>
      </c>
      <c r="I29" s="35" t="s">
        <v>4127</v>
      </c>
      <c r="J29" s="139">
        <v>29104391</v>
      </c>
      <c r="K29" s="35" t="s">
        <v>2438</v>
      </c>
      <c r="L29" s="35">
        <v>3447000</v>
      </c>
      <c r="M29" s="35" t="s">
        <v>3735</v>
      </c>
      <c r="N29" s="35" t="s">
        <v>4181</v>
      </c>
      <c r="O29" s="35">
        <v>3428</v>
      </c>
      <c r="P29" s="140">
        <v>43073</v>
      </c>
      <c r="Q29" s="140">
        <v>46724</v>
      </c>
      <c r="R29" s="62" t="s">
        <v>2440</v>
      </c>
      <c r="S29" s="142" t="s">
        <v>2442</v>
      </c>
      <c r="T29" s="35" t="s">
        <v>2443</v>
      </c>
      <c r="U29" s="142" t="s">
        <v>2935</v>
      </c>
      <c r="V29" s="142" t="s">
        <v>1825</v>
      </c>
      <c r="W29" s="142">
        <v>2557</v>
      </c>
      <c r="X29" s="143">
        <v>100709.7</v>
      </c>
      <c r="Y29" s="143">
        <v>95573.82</v>
      </c>
      <c r="Z29" s="69" t="s">
        <v>3741</v>
      </c>
      <c r="AA29" s="82"/>
      <c r="AB29" s="82"/>
      <c r="AC29" s="82"/>
      <c r="AD29" s="82"/>
      <c r="AE29" s="82"/>
      <c r="AF29" s="82"/>
      <c r="AG29" s="95"/>
      <c r="AH29" s="95"/>
      <c r="AI29" s="69"/>
      <c r="AJ29" s="35"/>
      <c r="AK29" s="66"/>
      <c r="AL29" s="66"/>
      <c r="AM29" s="145">
        <f t="shared" si="0"/>
        <v>0</v>
      </c>
      <c r="AN29" s="146">
        <f t="shared" si="1"/>
        <v>0</v>
      </c>
      <c r="AO29" s="69"/>
    </row>
    <row r="30" spans="1:41" ht="25.5">
      <c r="A30" s="35">
        <v>26</v>
      </c>
      <c r="B30" s="35" t="s">
        <v>2</v>
      </c>
      <c r="C30" s="35" t="s">
        <v>2</v>
      </c>
      <c r="D30" s="35">
        <v>2</v>
      </c>
      <c r="E30" s="35" t="s">
        <v>488</v>
      </c>
      <c r="F30" s="35" t="s">
        <v>516</v>
      </c>
      <c r="G30" s="69" t="s">
        <v>2489</v>
      </c>
      <c r="H30" s="35" t="s">
        <v>4166</v>
      </c>
      <c r="I30" s="35" t="s">
        <v>4127</v>
      </c>
      <c r="J30" s="139">
        <v>29104391</v>
      </c>
      <c r="K30" s="35" t="s">
        <v>2438</v>
      </c>
      <c r="L30" s="35">
        <v>3447000</v>
      </c>
      <c r="M30" s="35" t="s">
        <v>3735</v>
      </c>
      <c r="N30" s="35" t="s">
        <v>4181</v>
      </c>
      <c r="O30" s="35">
        <v>3428</v>
      </c>
      <c r="P30" s="140">
        <v>43073</v>
      </c>
      <c r="Q30" s="140">
        <v>46724</v>
      </c>
      <c r="R30" s="62" t="s">
        <v>2440</v>
      </c>
      <c r="S30" s="62" t="s">
        <v>2441</v>
      </c>
      <c r="T30" s="35" t="s">
        <v>2443</v>
      </c>
      <c r="U30" s="142" t="s">
        <v>2936</v>
      </c>
      <c r="V30" s="142" t="s">
        <v>1826</v>
      </c>
      <c r="W30" s="142">
        <v>2558</v>
      </c>
      <c r="X30" s="143">
        <v>100775.46</v>
      </c>
      <c r="Y30" s="143">
        <v>95568.88</v>
      </c>
      <c r="Z30" s="69" t="s">
        <v>3744</v>
      </c>
      <c r="AA30" s="104">
        <v>43481</v>
      </c>
      <c r="AB30" s="82" t="s">
        <v>2477</v>
      </c>
      <c r="AC30" s="82">
        <v>7</v>
      </c>
      <c r="AD30" s="82">
        <v>14</v>
      </c>
      <c r="AE30" s="82">
        <f>((4.184+4.382+4.089+4.281+4.317)/5)</f>
        <v>4.2506</v>
      </c>
      <c r="AF30" s="82">
        <v>24</v>
      </c>
      <c r="AG30" s="95">
        <f>AE30*AC30*AF30*0.0036</f>
        <v>2.5707628800000006</v>
      </c>
      <c r="AH30" s="95">
        <f>AE30*AD30*AF30*0.0036</f>
        <v>5.141525760000001</v>
      </c>
      <c r="AI30" s="82">
        <v>30</v>
      </c>
      <c r="AJ30" s="82">
        <v>12</v>
      </c>
      <c r="AK30" s="82">
        <v>0.63</v>
      </c>
      <c r="AL30" s="82">
        <v>0.6</v>
      </c>
      <c r="AM30" s="117">
        <f>AG30*AI30*AJ30*AK30</f>
        <v>583.049021184</v>
      </c>
      <c r="AN30" s="118">
        <f>AH30*AI30*AJ30*AL30</f>
        <v>1110.56956416</v>
      </c>
      <c r="AO30" s="82" t="s">
        <v>2413</v>
      </c>
    </row>
    <row r="31" spans="1:41" ht="25.5">
      <c r="A31" s="35">
        <v>27</v>
      </c>
      <c r="B31" s="35" t="s">
        <v>2</v>
      </c>
      <c r="C31" s="35" t="s">
        <v>2</v>
      </c>
      <c r="D31" s="35">
        <v>2</v>
      </c>
      <c r="E31" s="35" t="s">
        <v>517</v>
      </c>
      <c r="F31" s="142" t="s">
        <v>2064</v>
      </c>
      <c r="G31" s="69" t="s">
        <v>2489</v>
      </c>
      <c r="H31" s="35" t="s">
        <v>4166</v>
      </c>
      <c r="I31" s="35" t="s">
        <v>4127</v>
      </c>
      <c r="J31" s="139">
        <v>29104391</v>
      </c>
      <c r="K31" s="35" t="s">
        <v>2438</v>
      </c>
      <c r="L31" s="35">
        <v>3447000</v>
      </c>
      <c r="M31" s="35" t="s">
        <v>3735</v>
      </c>
      <c r="N31" s="35" t="s">
        <v>4181</v>
      </c>
      <c r="O31" s="35">
        <v>3428</v>
      </c>
      <c r="P31" s="140">
        <v>43073</v>
      </c>
      <c r="Q31" s="140">
        <v>46724</v>
      </c>
      <c r="R31" s="62" t="s">
        <v>2440</v>
      </c>
      <c r="S31" s="142" t="s">
        <v>2442</v>
      </c>
      <c r="T31" s="35" t="s">
        <v>2443</v>
      </c>
      <c r="U31" s="142" t="s">
        <v>2937</v>
      </c>
      <c r="V31" s="142" t="s">
        <v>1829</v>
      </c>
      <c r="W31" s="142">
        <v>2558</v>
      </c>
      <c r="X31" s="143">
        <v>100807.73</v>
      </c>
      <c r="Y31" s="143">
        <v>95509.06</v>
      </c>
      <c r="Z31" s="69" t="s">
        <v>3741</v>
      </c>
      <c r="AA31" s="82"/>
      <c r="AB31" s="82"/>
      <c r="AC31" s="82"/>
      <c r="AD31" s="82"/>
      <c r="AE31" s="82"/>
      <c r="AF31" s="82"/>
      <c r="AG31" s="95"/>
      <c r="AH31" s="95"/>
      <c r="AI31" s="69"/>
      <c r="AJ31" s="35"/>
      <c r="AK31" s="66"/>
      <c r="AL31" s="66"/>
      <c r="AM31" s="145">
        <f t="shared" si="0"/>
        <v>0</v>
      </c>
      <c r="AN31" s="146">
        <f t="shared" si="1"/>
        <v>0</v>
      </c>
      <c r="AO31" s="69"/>
    </row>
    <row r="32" spans="1:41" ht="25.5">
      <c r="A32" s="35">
        <v>28</v>
      </c>
      <c r="B32" s="35" t="s">
        <v>2</v>
      </c>
      <c r="C32" s="35" t="s">
        <v>2</v>
      </c>
      <c r="D32" s="35">
        <v>2</v>
      </c>
      <c r="E32" s="35" t="s">
        <v>518</v>
      </c>
      <c r="F32" s="142" t="s">
        <v>2065</v>
      </c>
      <c r="G32" s="69" t="s">
        <v>2489</v>
      </c>
      <c r="H32" s="35" t="s">
        <v>4166</v>
      </c>
      <c r="I32" s="35" t="s">
        <v>4127</v>
      </c>
      <c r="J32" s="139">
        <v>29104391</v>
      </c>
      <c r="K32" s="35" t="s">
        <v>2438</v>
      </c>
      <c r="L32" s="35">
        <v>3447000</v>
      </c>
      <c r="M32" s="35" t="s">
        <v>3735</v>
      </c>
      <c r="N32" s="35" t="s">
        <v>4181</v>
      </c>
      <c r="O32" s="35">
        <v>3428</v>
      </c>
      <c r="P32" s="140">
        <v>43073</v>
      </c>
      <c r="Q32" s="140">
        <v>46724</v>
      </c>
      <c r="R32" s="62" t="s">
        <v>2440</v>
      </c>
      <c r="S32" s="142" t="s">
        <v>2442</v>
      </c>
      <c r="T32" s="35" t="s">
        <v>2443</v>
      </c>
      <c r="U32" s="142" t="s">
        <v>2938</v>
      </c>
      <c r="V32" s="142" t="s">
        <v>1828</v>
      </c>
      <c r="W32" s="142">
        <v>2559</v>
      </c>
      <c r="X32" s="143">
        <v>100881.47</v>
      </c>
      <c r="Y32" s="143">
        <v>95466.51</v>
      </c>
      <c r="Z32" s="69" t="s">
        <v>3741</v>
      </c>
      <c r="AA32" s="82"/>
      <c r="AB32" s="82"/>
      <c r="AC32" s="82"/>
      <c r="AD32" s="82"/>
      <c r="AE32" s="82"/>
      <c r="AF32" s="82"/>
      <c r="AG32" s="95"/>
      <c r="AH32" s="95"/>
      <c r="AI32" s="69"/>
      <c r="AJ32" s="35"/>
      <c r="AK32" s="66"/>
      <c r="AL32" s="66"/>
      <c r="AM32" s="145">
        <f t="shared" si="0"/>
        <v>0</v>
      </c>
      <c r="AN32" s="146">
        <f t="shared" si="1"/>
        <v>0</v>
      </c>
      <c r="AO32" s="69"/>
    </row>
    <row r="33" spans="1:41" ht="25.5">
      <c r="A33" s="35">
        <v>29</v>
      </c>
      <c r="B33" s="35" t="s">
        <v>2</v>
      </c>
      <c r="C33" s="35" t="s">
        <v>2</v>
      </c>
      <c r="D33" s="35">
        <v>2</v>
      </c>
      <c r="E33" s="35" t="s">
        <v>519</v>
      </c>
      <c r="F33" s="142" t="s">
        <v>521</v>
      </c>
      <c r="G33" s="69" t="s">
        <v>2489</v>
      </c>
      <c r="H33" s="35" t="s">
        <v>4166</v>
      </c>
      <c r="I33" s="35" t="s">
        <v>4127</v>
      </c>
      <c r="J33" s="139">
        <v>29104391</v>
      </c>
      <c r="K33" s="35" t="s">
        <v>2438</v>
      </c>
      <c r="L33" s="35">
        <v>3447000</v>
      </c>
      <c r="M33" s="35" t="s">
        <v>3735</v>
      </c>
      <c r="N33" s="35" t="s">
        <v>4181</v>
      </c>
      <c r="O33" s="35">
        <v>3428</v>
      </c>
      <c r="P33" s="140">
        <v>43073</v>
      </c>
      <c r="Q33" s="140">
        <v>46724</v>
      </c>
      <c r="R33" s="62" t="s">
        <v>2440</v>
      </c>
      <c r="S33" s="62" t="s">
        <v>2441</v>
      </c>
      <c r="T33" s="35" t="s">
        <v>2443</v>
      </c>
      <c r="U33" s="142" t="s">
        <v>2939</v>
      </c>
      <c r="V33" s="142" t="s">
        <v>522</v>
      </c>
      <c r="W33" s="142">
        <v>2558</v>
      </c>
      <c r="X33" s="143">
        <v>100944.16</v>
      </c>
      <c r="Y33" s="143">
        <v>95473.59</v>
      </c>
      <c r="Z33" s="69" t="s">
        <v>3741</v>
      </c>
      <c r="AA33" s="82"/>
      <c r="AB33" s="82"/>
      <c r="AC33" s="82"/>
      <c r="AD33" s="82"/>
      <c r="AE33" s="82"/>
      <c r="AF33" s="82"/>
      <c r="AG33" s="95"/>
      <c r="AH33" s="95"/>
      <c r="AI33" s="69"/>
      <c r="AJ33" s="35"/>
      <c r="AK33" s="66"/>
      <c r="AL33" s="66"/>
      <c r="AM33" s="145">
        <f t="shared" si="0"/>
        <v>0</v>
      </c>
      <c r="AN33" s="146">
        <f t="shared" si="1"/>
        <v>0</v>
      </c>
      <c r="AO33" s="69"/>
    </row>
    <row r="34" spans="1:41" ht="25.5">
      <c r="A34" s="35">
        <v>30</v>
      </c>
      <c r="B34" s="35" t="s">
        <v>2</v>
      </c>
      <c r="C34" s="35" t="s">
        <v>2</v>
      </c>
      <c r="D34" s="35">
        <v>2</v>
      </c>
      <c r="E34" s="35" t="s">
        <v>520</v>
      </c>
      <c r="F34" s="142" t="s">
        <v>2066</v>
      </c>
      <c r="G34" s="69" t="s">
        <v>2489</v>
      </c>
      <c r="H34" s="35" t="s">
        <v>4166</v>
      </c>
      <c r="I34" s="35" t="s">
        <v>4127</v>
      </c>
      <c r="J34" s="139">
        <v>29104391</v>
      </c>
      <c r="K34" s="35" t="s">
        <v>2438</v>
      </c>
      <c r="L34" s="35">
        <v>3447000</v>
      </c>
      <c r="M34" s="35" t="s">
        <v>3735</v>
      </c>
      <c r="N34" s="35" t="s">
        <v>4181</v>
      </c>
      <c r="O34" s="35">
        <v>3428</v>
      </c>
      <c r="P34" s="140">
        <v>43073</v>
      </c>
      <c r="Q34" s="140">
        <v>46724</v>
      </c>
      <c r="R34" s="62" t="s">
        <v>2440</v>
      </c>
      <c r="S34" s="142" t="s">
        <v>2442</v>
      </c>
      <c r="T34" s="35" t="s">
        <v>2443</v>
      </c>
      <c r="U34" s="142" t="s">
        <v>2940</v>
      </c>
      <c r="V34" s="142" t="s">
        <v>1827</v>
      </c>
      <c r="W34" s="142">
        <v>2558</v>
      </c>
      <c r="X34" s="143">
        <v>100959.53</v>
      </c>
      <c r="Y34" s="143">
        <v>95430.12</v>
      </c>
      <c r="Z34" s="69" t="s">
        <v>3741</v>
      </c>
      <c r="AA34" s="82"/>
      <c r="AB34" s="82"/>
      <c r="AC34" s="82"/>
      <c r="AD34" s="82"/>
      <c r="AE34" s="82"/>
      <c r="AF34" s="82"/>
      <c r="AG34" s="95"/>
      <c r="AH34" s="95"/>
      <c r="AI34" s="69"/>
      <c r="AJ34" s="35"/>
      <c r="AK34" s="66"/>
      <c r="AL34" s="66"/>
      <c r="AM34" s="145">
        <f t="shared" si="0"/>
        <v>0</v>
      </c>
      <c r="AN34" s="146">
        <f t="shared" si="1"/>
        <v>0</v>
      </c>
      <c r="AO34" s="69"/>
    </row>
    <row r="35" spans="1:41" ht="25.5">
      <c r="A35" s="35">
        <v>31</v>
      </c>
      <c r="B35" s="35" t="s">
        <v>2</v>
      </c>
      <c r="C35" s="35" t="s">
        <v>2</v>
      </c>
      <c r="D35" s="35">
        <v>2</v>
      </c>
      <c r="E35" s="35" t="s">
        <v>489</v>
      </c>
      <c r="F35" s="35" t="s">
        <v>2067</v>
      </c>
      <c r="G35" s="69" t="s">
        <v>2489</v>
      </c>
      <c r="H35" s="35" t="s">
        <v>4166</v>
      </c>
      <c r="I35" s="35" t="s">
        <v>4127</v>
      </c>
      <c r="J35" s="139">
        <v>29104391</v>
      </c>
      <c r="K35" s="35" t="s">
        <v>2438</v>
      </c>
      <c r="L35" s="35">
        <v>3447000</v>
      </c>
      <c r="M35" s="35" t="s">
        <v>3735</v>
      </c>
      <c r="N35" s="35" t="s">
        <v>4181</v>
      </c>
      <c r="O35" s="35">
        <v>3428</v>
      </c>
      <c r="P35" s="140">
        <v>43073</v>
      </c>
      <c r="Q35" s="140">
        <v>46724</v>
      </c>
      <c r="R35" s="62" t="s">
        <v>2440</v>
      </c>
      <c r="S35" s="62" t="s">
        <v>2441</v>
      </c>
      <c r="T35" s="35" t="s">
        <v>2443</v>
      </c>
      <c r="U35" s="142" t="s">
        <v>2941</v>
      </c>
      <c r="V35" s="142" t="s">
        <v>2942</v>
      </c>
      <c r="W35" s="142">
        <v>2557</v>
      </c>
      <c r="X35" s="143">
        <v>101168.79</v>
      </c>
      <c r="Y35" s="143">
        <v>95367.82</v>
      </c>
      <c r="Z35" s="69" t="s">
        <v>3744</v>
      </c>
      <c r="AA35" s="104">
        <v>43482</v>
      </c>
      <c r="AB35" s="82" t="s">
        <v>3926</v>
      </c>
      <c r="AC35" s="82">
        <v>306</v>
      </c>
      <c r="AD35" s="82">
        <v>109</v>
      </c>
      <c r="AE35" s="82">
        <f>((0.163+0.159+0.169+0.17+0.172)/5)</f>
        <v>0.1666</v>
      </c>
      <c r="AF35" s="82">
        <v>24</v>
      </c>
      <c r="AG35" s="95">
        <f>AE35*AC35*AF35*0.0036</f>
        <v>4.404637439999999</v>
      </c>
      <c r="AH35" s="95">
        <f>AE35*AD35*AF35*0.0036</f>
        <v>1.56897216</v>
      </c>
      <c r="AI35" s="82">
        <v>30</v>
      </c>
      <c r="AJ35" s="82">
        <v>12</v>
      </c>
      <c r="AK35" s="82">
        <v>0.5</v>
      </c>
      <c r="AL35" s="82">
        <v>0.57</v>
      </c>
      <c r="AM35" s="117">
        <f t="shared" si="0"/>
        <v>792.8347391999998</v>
      </c>
      <c r="AN35" s="118">
        <f t="shared" si="1"/>
        <v>321.9530872319999</v>
      </c>
      <c r="AO35" s="82" t="s">
        <v>2413</v>
      </c>
    </row>
    <row r="36" spans="1:41" ht="25.5">
      <c r="A36" s="35">
        <v>32</v>
      </c>
      <c r="B36" s="35" t="s">
        <v>2</v>
      </c>
      <c r="C36" s="35" t="s">
        <v>2</v>
      </c>
      <c r="D36" s="35">
        <v>2</v>
      </c>
      <c r="E36" s="35" t="s">
        <v>523</v>
      </c>
      <c r="F36" s="35" t="s">
        <v>2068</v>
      </c>
      <c r="G36" s="69" t="s">
        <v>2489</v>
      </c>
      <c r="H36" s="35" t="s">
        <v>4166</v>
      </c>
      <c r="I36" s="35" t="s">
        <v>4127</v>
      </c>
      <c r="J36" s="139">
        <v>29104391</v>
      </c>
      <c r="K36" s="35" t="s">
        <v>2438</v>
      </c>
      <c r="L36" s="35">
        <v>3447000</v>
      </c>
      <c r="M36" s="35" t="s">
        <v>3735</v>
      </c>
      <c r="N36" s="35" t="s">
        <v>4181</v>
      </c>
      <c r="O36" s="35">
        <v>3428</v>
      </c>
      <c r="P36" s="140">
        <v>43073</v>
      </c>
      <c r="Q36" s="140">
        <v>46724</v>
      </c>
      <c r="R36" s="62" t="s">
        <v>2440</v>
      </c>
      <c r="S36" s="142" t="s">
        <v>2442</v>
      </c>
      <c r="T36" s="35" t="s">
        <v>2443</v>
      </c>
      <c r="U36" s="142" t="s">
        <v>2943</v>
      </c>
      <c r="V36" s="142" t="s">
        <v>1830</v>
      </c>
      <c r="W36" s="142">
        <v>2559</v>
      </c>
      <c r="X36" s="82">
        <v>101209.358</v>
      </c>
      <c r="Y36" s="82">
        <v>95317.564</v>
      </c>
      <c r="Z36" s="69" t="s">
        <v>3741</v>
      </c>
      <c r="AA36" s="82"/>
      <c r="AB36" s="82"/>
      <c r="AC36" s="82"/>
      <c r="AD36" s="82"/>
      <c r="AE36" s="82"/>
      <c r="AF36" s="82"/>
      <c r="AG36" s="95"/>
      <c r="AH36" s="95"/>
      <c r="AI36" s="69"/>
      <c r="AJ36" s="35"/>
      <c r="AK36" s="66"/>
      <c r="AL36" s="66"/>
      <c r="AM36" s="145">
        <f t="shared" si="0"/>
        <v>0</v>
      </c>
      <c r="AN36" s="146">
        <f t="shared" si="1"/>
        <v>0</v>
      </c>
      <c r="AO36" s="69"/>
    </row>
    <row r="37" spans="1:41" ht="25.5">
      <c r="A37" s="35">
        <v>33</v>
      </c>
      <c r="B37" s="35" t="s">
        <v>2</v>
      </c>
      <c r="C37" s="35" t="s">
        <v>2</v>
      </c>
      <c r="D37" s="35">
        <v>2</v>
      </c>
      <c r="E37" s="35" t="s">
        <v>524</v>
      </c>
      <c r="F37" s="142" t="s">
        <v>2069</v>
      </c>
      <c r="G37" s="69" t="s">
        <v>2489</v>
      </c>
      <c r="H37" s="35" t="s">
        <v>4166</v>
      </c>
      <c r="I37" s="35" t="s">
        <v>4127</v>
      </c>
      <c r="J37" s="139">
        <v>29104391</v>
      </c>
      <c r="K37" s="35" t="s">
        <v>2438</v>
      </c>
      <c r="L37" s="35">
        <v>3447000</v>
      </c>
      <c r="M37" s="35" t="s">
        <v>3735</v>
      </c>
      <c r="N37" s="35" t="s">
        <v>4181</v>
      </c>
      <c r="O37" s="35">
        <v>3428</v>
      </c>
      <c r="P37" s="140">
        <v>43073</v>
      </c>
      <c r="Q37" s="140">
        <v>46724</v>
      </c>
      <c r="R37" s="62" t="s">
        <v>2440</v>
      </c>
      <c r="S37" s="62" t="s">
        <v>2441</v>
      </c>
      <c r="T37" s="35" t="s">
        <v>2443</v>
      </c>
      <c r="U37" s="142" t="s">
        <v>2944</v>
      </c>
      <c r="V37" s="142" t="s">
        <v>1831</v>
      </c>
      <c r="W37" s="142">
        <v>2558</v>
      </c>
      <c r="X37" s="143">
        <v>101229.94</v>
      </c>
      <c r="Y37" s="143">
        <v>95342.84</v>
      </c>
      <c r="Z37" s="69" t="s">
        <v>3741</v>
      </c>
      <c r="AA37" s="82"/>
      <c r="AB37" s="82"/>
      <c r="AC37" s="82"/>
      <c r="AD37" s="82"/>
      <c r="AE37" s="82"/>
      <c r="AF37" s="82"/>
      <c r="AG37" s="95"/>
      <c r="AH37" s="95"/>
      <c r="AI37" s="69"/>
      <c r="AJ37" s="35"/>
      <c r="AK37" s="66"/>
      <c r="AL37" s="66"/>
      <c r="AM37" s="145">
        <f t="shared" si="0"/>
        <v>0</v>
      </c>
      <c r="AN37" s="146">
        <f t="shared" si="1"/>
        <v>0</v>
      </c>
      <c r="AO37" s="69"/>
    </row>
    <row r="38" spans="1:41" ht="25.5">
      <c r="A38" s="35">
        <v>34</v>
      </c>
      <c r="B38" s="35" t="s">
        <v>2</v>
      </c>
      <c r="C38" s="35" t="s">
        <v>2</v>
      </c>
      <c r="D38" s="35">
        <v>2</v>
      </c>
      <c r="E38" s="35" t="s">
        <v>525</v>
      </c>
      <c r="F38" s="142" t="s">
        <v>2070</v>
      </c>
      <c r="G38" s="69" t="s">
        <v>2489</v>
      </c>
      <c r="H38" s="35" t="s">
        <v>4166</v>
      </c>
      <c r="I38" s="35" t="s">
        <v>4127</v>
      </c>
      <c r="J38" s="139">
        <v>29104391</v>
      </c>
      <c r="K38" s="35" t="s">
        <v>2438</v>
      </c>
      <c r="L38" s="35">
        <v>3447000</v>
      </c>
      <c r="M38" s="35" t="s">
        <v>3735</v>
      </c>
      <c r="N38" s="35" t="s">
        <v>4181</v>
      </c>
      <c r="O38" s="35">
        <v>3428</v>
      </c>
      <c r="P38" s="140">
        <v>43073</v>
      </c>
      <c r="Q38" s="140">
        <v>46724</v>
      </c>
      <c r="R38" s="62" t="s">
        <v>2440</v>
      </c>
      <c r="S38" s="142" t="s">
        <v>2442</v>
      </c>
      <c r="T38" s="35" t="s">
        <v>2443</v>
      </c>
      <c r="U38" s="142" t="s">
        <v>2945</v>
      </c>
      <c r="V38" s="142" t="s">
        <v>1832</v>
      </c>
      <c r="W38" s="142">
        <v>2558</v>
      </c>
      <c r="X38" s="143">
        <v>101280.95</v>
      </c>
      <c r="Y38" s="143">
        <v>95274.7</v>
      </c>
      <c r="Z38" s="69" t="s">
        <v>3741</v>
      </c>
      <c r="AA38" s="82"/>
      <c r="AB38" s="82"/>
      <c r="AC38" s="82"/>
      <c r="AD38" s="82"/>
      <c r="AE38" s="82"/>
      <c r="AF38" s="82"/>
      <c r="AG38" s="95"/>
      <c r="AH38" s="95"/>
      <c r="AI38" s="69"/>
      <c r="AJ38" s="35"/>
      <c r="AK38" s="66"/>
      <c r="AL38" s="66"/>
      <c r="AM38" s="145">
        <f t="shared" si="0"/>
        <v>0</v>
      </c>
      <c r="AN38" s="146">
        <f t="shared" si="1"/>
        <v>0</v>
      </c>
      <c r="AO38" s="69"/>
    </row>
    <row r="39" spans="1:41" ht="25.5">
      <c r="A39" s="35">
        <v>35</v>
      </c>
      <c r="B39" s="35" t="s">
        <v>2</v>
      </c>
      <c r="C39" s="35" t="s">
        <v>2</v>
      </c>
      <c r="D39" s="35">
        <v>2</v>
      </c>
      <c r="E39" s="35" t="s">
        <v>490</v>
      </c>
      <c r="F39" s="142" t="s">
        <v>2071</v>
      </c>
      <c r="G39" s="69" t="s">
        <v>2489</v>
      </c>
      <c r="H39" s="35" t="s">
        <v>4166</v>
      </c>
      <c r="I39" s="35" t="s">
        <v>4127</v>
      </c>
      <c r="J39" s="139">
        <v>29104391</v>
      </c>
      <c r="K39" s="35" t="s">
        <v>2438</v>
      </c>
      <c r="L39" s="35">
        <v>3447000</v>
      </c>
      <c r="M39" s="35" t="s">
        <v>3735</v>
      </c>
      <c r="N39" s="35" t="s">
        <v>4181</v>
      </c>
      <c r="O39" s="35">
        <v>3428</v>
      </c>
      <c r="P39" s="140">
        <v>43073</v>
      </c>
      <c r="Q39" s="140">
        <v>46724</v>
      </c>
      <c r="R39" s="62" t="s">
        <v>2440</v>
      </c>
      <c r="S39" s="142" t="s">
        <v>2442</v>
      </c>
      <c r="T39" s="35" t="s">
        <v>2443</v>
      </c>
      <c r="U39" s="142" t="s">
        <v>1833</v>
      </c>
      <c r="V39" s="142" t="s">
        <v>1834</v>
      </c>
      <c r="W39" s="142">
        <v>2558</v>
      </c>
      <c r="X39" s="143">
        <v>101324.59</v>
      </c>
      <c r="Y39" s="143">
        <v>95256.19</v>
      </c>
      <c r="Z39" s="69" t="s">
        <v>3744</v>
      </c>
      <c r="AA39" s="82" t="s">
        <v>3927</v>
      </c>
      <c r="AB39" s="82" t="s">
        <v>2541</v>
      </c>
      <c r="AC39" s="82">
        <v>467</v>
      </c>
      <c r="AD39" s="82">
        <v>98</v>
      </c>
      <c r="AE39" s="133">
        <f>((0.229+0.194+0.201+0.186+0.178)/5)</f>
        <v>0.1976</v>
      </c>
      <c r="AF39" s="69">
        <v>24</v>
      </c>
      <c r="AG39" s="95">
        <f>AE39*AC39*AF39*0.0036</f>
        <v>7.97292288</v>
      </c>
      <c r="AH39" s="95">
        <f>AE39*AD39*AF39*0.0036</f>
        <v>1.6731187199999997</v>
      </c>
      <c r="AI39" s="69">
        <v>30</v>
      </c>
      <c r="AJ39" s="35">
        <v>12</v>
      </c>
      <c r="AK39" s="145">
        <v>0.58</v>
      </c>
      <c r="AL39" s="146">
        <v>0.55</v>
      </c>
      <c r="AM39" s="117">
        <f>AG39*AI39*AJ39*AK39</f>
        <v>1664.746297344</v>
      </c>
      <c r="AN39" s="118">
        <f>AH39*AI39*AJ39*AL39</f>
        <v>331.27750655999995</v>
      </c>
      <c r="AO39" s="82" t="s">
        <v>2413</v>
      </c>
    </row>
    <row r="40" spans="1:41" ht="25.5">
      <c r="A40" s="35">
        <v>36</v>
      </c>
      <c r="B40" s="35" t="s">
        <v>2</v>
      </c>
      <c r="C40" s="35" t="s">
        <v>2</v>
      </c>
      <c r="D40" s="35">
        <v>2</v>
      </c>
      <c r="E40" s="35" t="s">
        <v>491</v>
      </c>
      <c r="F40" s="35" t="s">
        <v>2072</v>
      </c>
      <c r="G40" s="69" t="s">
        <v>2489</v>
      </c>
      <c r="H40" s="35" t="s">
        <v>4166</v>
      </c>
      <c r="I40" s="35" t="s">
        <v>4127</v>
      </c>
      <c r="J40" s="139">
        <v>29104391</v>
      </c>
      <c r="K40" s="35" t="s">
        <v>2438</v>
      </c>
      <c r="L40" s="35">
        <v>3447000</v>
      </c>
      <c r="M40" s="35" t="s">
        <v>3735</v>
      </c>
      <c r="N40" s="35" t="s">
        <v>4181</v>
      </c>
      <c r="O40" s="35">
        <v>3428</v>
      </c>
      <c r="P40" s="140">
        <v>43073</v>
      </c>
      <c r="Q40" s="140">
        <v>46724</v>
      </c>
      <c r="R40" s="62" t="s">
        <v>2440</v>
      </c>
      <c r="S40" s="142" t="s">
        <v>2442</v>
      </c>
      <c r="T40" s="35" t="s">
        <v>2447</v>
      </c>
      <c r="U40" s="142" t="s">
        <v>2946</v>
      </c>
      <c r="V40" s="142" t="s">
        <v>2947</v>
      </c>
      <c r="W40" s="142">
        <v>2558</v>
      </c>
      <c r="X40" s="143">
        <v>101411.86</v>
      </c>
      <c r="Y40" s="143">
        <v>95235.84</v>
      </c>
      <c r="Z40" s="69" t="s">
        <v>3744</v>
      </c>
      <c r="AA40" s="67">
        <v>43482</v>
      </c>
      <c r="AB40" s="147">
        <v>0.5159722222222222</v>
      </c>
      <c r="AC40" s="69"/>
      <c r="AD40" s="93"/>
      <c r="AE40" s="93"/>
      <c r="AF40" s="93"/>
      <c r="AG40" s="93"/>
      <c r="AH40" s="93"/>
      <c r="AI40" s="93"/>
      <c r="AJ40" s="93"/>
      <c r="AK40" s="93"/>
      <c r="AL40" s="93"/>
      <c r="AM40" s="117">
        <f t="shared" si="0"/>
        <v>0</v>
      </c>
      <c r="AN40" s="118">
        <f t="shared" si="1"/>
        <v>0</v>
      </c>
      <c r="AO40" s="82" t="s">
        <v>2413</v>
      </c>
    </row>
    <row r="41" spans="1:41" ht="25.5">
      <c r="A41" s="35">
        <v>37</v>
      </c>
      <c r="B41" s="35" t="s">
        <v>2</v>
      </c>
      <c r="C41" s="35" t="s">
        <v>2</v>
      </c>
      <c r="D41" s="35">
        <v>2</v>
      </c>
      <c r="E41" s="35" t="s">
        <v>526</v>
      </c>
      <c r="F41" s="142" t="s">
        <v>2073</v>
      </c>
      <c r="G41" s="69" t="s">
        <v>2489</v>
      </c>
      <c r="H41" s="35" t="s">
        <v>4166</v>
      </c>
      <c r="I41" s="35" t="s">
        <v>4127</v>
      </c>
      <c r="J41" s="139">
        <v>29104391</v>
      </c>
      <c r="K41" s="35" t="s">
        <v>2438</v>
      </c>
      <c r="L41" s="35">
        <v>3447000</v>
      </c>
      <c r="M41" s="35" t="s">
        <v>3735</v>
      </c>
      <c r="N41" s="35" t="s">
        <v>4181</v>
      </c>
      <c r="O41" s="35">
        <v>3428</v>
      </c>
      <c r="P41" s="140">
        <v>43073</v>
      </c>
      <c r="Q41" s="140">
        <v>46724</v>
      </c>
      <c r="R41" s="62" t="s">
        <v>2440</v>
      </c>
      <c r="S41" s="142" t="s">
        <v>2442</v>
      </c>
      <c r="T41" s="35" t="s">
        <v>2443</v>
      </c>
      <c r="U41" s="142" t="s">
        <v>2948</v>
      </c>
      <c r="V41" s="142" t="s">
        <v>1835</v>
      </c>
      <c r="W41" s="142">
        <v>2558</v>
      </c>
      <c r="X41" s="143">
        <v>101466.25</v>
      </c>
      <c r="Y41" s="143">
        <v>95189.28</v>
      </c>
      <c r="Z41" s="69" t="s">
        <v>3741</v>
      </c>
      <c r="AA41" s="82"/>
      <c r="AB41" s="82"/>
      <c r="AC41" s="82"/>
      <c r="AD41" s="82"/>
      <c r="AE41" s="82"/>
      <c r="AF41" s="82"/>
      <c r="AG41" s="95"/>
      <c r="AH41" s="95"/>
      <c r="AI41" s="69"/>
      <c r="AJ41" s="35"/>
      <c r="AK41" s="66"/>
      <c r="AL41" s="66"/>
      <c r="AM41" s="145">
        <f t="shared" si="0"/>
        <v>0</v>
      </c>
      <c r="AN41" s="146">
        <f t="shared" si="1"/>
        <v>0</v>
      </c>
      <c r="AO41" s="69"/>
    </row>
    <row r="42" spans="1:41" ht="25.5">
      <c r="A42" s="35">
        <v>38</v>
      </c>
      <c r="B42" s="35" t="s">
        <v>2</v>
      </c>
      <c r="C42" s="35" t="s">
        <v>2</v>
      </c>
      <c r="D42" s="35">
        <v>2</v>
      </c>
      <c r="E42" s="35" t="s">
        <v>527</v>
      </c>
      <c r="F42" s="142" t="s">
        <v>2074</v>
      </c>
      <c r="G42" s="69" t="s">
        <v>2489</v>
      </c>
      <c r="H42" s="35" t="s">
        <v>4166</v>
      </c>
      <c r="I42" s="35" t="s">
        <v>4127</v>
      </c>
      <c r="J42" s="139">
        <v>29104391</v>
      </c>
      <c r="K42" s="35" t="s">
        <v>2438</v>
      </c>
      <c r="L42" s="35">
        <v>3447000</v>
      </c>
      <c r="M42" s="35" t="s">
        <v>3735</v>
      </c>
      <c r="N42" s="35" t="s">
        <v>4181</v>
      </c>
      <c r="O42" s="35">
        <v>3428</v>
      </c>
      <c r="P42" s="140">
        <v>43073</v>
      </c>
      <c r="Q42" s="140">
        <v>46724</v>
      </c>
      <c r="R42" s="62" t="s">
        <v>2440</v>
      </c>
      <c r="S42" s="142" t="s">
        <v>2442</v>
      </c>
      <c r="T42" s="35" t="s">
        <v>2443</v>
      </c>
      <c r="U42" s="142" t="s">
        <v>2949</v>
      </c>
      <c r="V42" s="142" t="s">
        <v>2950</v>
      </c>
      <c r="W42" s="142">
        <v>2558</v>
      </c>
      <c r="X42" s="143">
        <v>101640.48</v>
      </c>
      <c r="Y42" s="143">
        <v>95092.14</v>
      </c>
      <c r="Z42" s="69" t="s">
        <v>3741</v>
      </c>
      <c r="AA42" s="82"/>
      <c r="AB42" s="82"/>
      <c r="AC42" s="82"/>
      <c r="AD42" s="82"/>
      <c r="AE42" s="82"/>
      <c r="AF42" s="82"/>
      <c r="AG42" s="95"/>
      <c r="AH42" s="95"/>
      <c r="AI42" s="69"/>
      <c r="AJ42" s="35"/>
      <c r="AK42" s="66"/>
      <c r="AL42" s="66"/>
      <c r="AM42" s="145">
        <f t="shared" si="0"/>
        <v>0</v>
      </c>
      <c r="AN42" s="146">
        <f t="shared" si="1"/>
        <v>0</v>
      </c>
      <c r="AO42" s="69"/>
    </row>
    <row r="43" spans="1:41" ht="33" customHeight="1">
      <c r="A43" s="35">
        <v>39</v>
      </c>
      <c r="B43" s="35" t="s">
        <v>2</v>
      </c>
      <c r="C43" s="35" t="s">
        <v>2</v>
      </c>
      <c r="D43" s="35">
        <v>2</v>
      </c>
      <c r="E43" s="35" t="s">
        <v>507</v>
      </c>
      <c r="F43" s="142" t="s">
        <v>2075</v>
      </c>
      <c r="G43" s="69" t="s">
        <v>2489</v>
      </c>
      <c r="H43" s="35" t="s">
        <v>4166</v>
      </c>
      <c r="I43" s="35" t="s">
        <v>4127</v>
      </c>
      <c r="J43" s="139">
        <v>29104391</v>
      </c>
      <c r="K43" s="35" t="s">
        <v>2438</v>
      </c>
      <c r="L43" s="35">
        <v>3447000</v>
      </c>
      <c r="M43" s="35" t="s">
        <v>3735</v>
      </c>
      <c r="N43" s="35" t="s">
        <v>4181</v>
      </c>
      <c r="O43" s="35">
        <v>3428</v>
      </c>
      <c r="P43" s="140">
        <v>43073</v>
      </c>
      <c r="Q43" s="140">
        <v>46724</v>
      </c>
      <c r="R43" s="62" t="s">
        <v>2440</v>
      </c>
      <c r="S43" s="142" t="s">
        <v>2442</v>
      </c>
      <c r="T43" s="35" t="s">
        <v>2443</v>
      </c>
      <c r="U43" s="142" t="s">
        <v>529</v>
      </c>
      <c r="V43" s="142" t="s">
        <v>2951</v>
      </c>
      <c r="W43" s="142">
        <v>2557</v>
      </c>
      <c r="X43" s="143">
        <v>101731.44</v>
      </c>
      <c r="Y43" s="143">
        <v>95036.63</v>
      </c>
      <c r="Z43" s="69" t="s">
        <v>3744</v>
      </c>
      <c r="AA43" s="104">
        <v>43483</v>
      </c>
      <c r="AB43" s="147">
        <v>0.3965277777777778</v>
      </c>
      <c r="AC43" s="82"/>
      <c r="AD43" s="82"/>
      <c r="AE43" s="133"/>
      <c r="AF43" s="69"/>
      <c r="AG43" s="95"/>
      <c r="AH43" s="95"/>
      <c r="AI43" s="69"/>
      <c r="AJ43" s="35"/>
      <c r="AK43" s="35"/>
      <c r="AL43" s="35"/>
      <c r="AM43" s="117">
        <f>AG43*AI43*AJ43*AK43</f>
        <v>0</v>
      </c>
      <c r="AN43" s="118">
        <f>AH43*AI43*AJ43*AL43</f>
        <v>0</v>
      </c>
      <c r="AO43" s="82" t="s">
        <v>2413</v>
      </c>
    </row>
    <row r="44" spans="1:41" ht="51">
      <c r="A44" s="35">
        <v>40</v>
      </c>
      <c r="B44" s="35" t="s">
        <v>2</v>
      </c>
      <c r="C44" s="35" t="s">
        <v>2</v>
      </c>
      <c r="D44" s="35">
        <v>2</v>
      </c>
      <c r="E44" s="35" t="s">
        <v>532</v>
      </c>
      <c r="F44" s="142" t="s">
        <v>528</v>
      </c>
      <c r="G44" s="69" t="s">
        <v>2489</v>
      </c>
      <c r="H44" s="35" t="s">
        <v>4166</v>
      </c>
      <c r="I44" s="35" t="s">
        <v>4127</v>
      </c>
      <c r="J44" s="139">
        <v>29104391</v>
      </c>
      <c r="K44" s="35" t="s">
        <v>2438</v>
      </c>
      <c r="L44" s="35">
        <v>3447000</v>
      </c>
      <c r="M44" s="35" t="s">
        <v>3735</v>
      </c>
      <c r="N44" s="35" t="s">
        <v>4181</v>
      </c>
      <c r="O44" s="35">
        <v>3428</v>
      </c>
      <c r="P44" s="140">
        <v>43073</v>
      </c>
      <c r="Q44" s="140">
        <v>46724</v>
      </c>
      <c r="R44" s="62" t="s">
        <v>2440</v>
      </c>
      <c r="S44" s="142" t="s">
        <v>2442</v>
      </c>
      <c r="T44" s="35" t="s">
        <v>2443</v>
      </c>
      <c r="U44" s="142" t="s">
        <v>534</v>
      </c>
      <c r="V44" s="142" t="s">
        <v>2952</v>
      </c>
      <c r="W44" s="142">
        <v>2557</v>
      </c>
      <c r="X44" s="143">
        <v>101729.9</v>
      </c>
      <c r="Y44" s="143">
        <v>95020.6</v>
      </c>
      <c r="Z44" s="69" t="s">
        <v>4068</v>
      </c>
      <c r="AA44" s="67">
        <v>43483</v>
      </c>
      <c r="AB44" s="147">
        <v>0.3993055555555556</v>
      </c>
      <c r="AC44" s="82"/>
      <c r="AD44" s="82"/>
      <c r="AE44" s="133"/>
      <c r="AF44" s="69"/>
      <c r="AG44" s="95"/>
      <c r="AH44" s="95"/>
      <c r="AI44" s="69"/>
      <c r="AJ44" s="35"/>
      <c r="AK44" s="35"/>
      <c r="AL44" s="35"/>
      <c r="AM44" s="118">
        <v>20806.194860352167</v>
      </c>
      <c r="AN44" s="118">
        <v>7128.370665893322</v>
      </c>
      <c r="AO44" s="82" t="s">
        <v>2413</v>
      </c>
    </row>
    <row r="45" spans="1:41" ht="25.5">
      <c r="A45" s="35">
        <v>41</v>
      </c>
      <c r="B45" s="35" t="s">
        <v>2</v>
      </c>
      <c r="C45" s="35" t="s">
        <v>2</v>
      </c>
      <c r="D45" s="35">
        <v>2</v>
      </c>
      <c r="E45" s="35" t="s">
        <v>530</v>
      </c>
      <c r="F45" s="142" t="s">
        <v>528</v>
      </c>
      <c r="G45" s="69" t="s">
        <v>2489</v>
      </c>
      <c r="H45" s="35" t="s">
        <v>4166</v>
      </c>
      <c r="I45" s="35" t="s">
        <v>4127</v>
      </c>
      <c r="J45" s="139">
        <v>29104391</v>
      </c>
      <c r="K45" s="35" t="s">
        <v>2438</v>
      </c>
      <c r="L45" s="35">
        <v>3447000</v>
      </c>
      <c r="M45" s="35" t="s">
        <v>3735</v>
      </c>
      <c r="N45" s="35" t="s">
        <v>4181</v>
      </c>
      <c r="O45" s="35">
        <v>3428</v>
      </c>
      <c r="P45" s="140">
        <v>43073</v>
      </c>
      <c r="Q45" s="140">
        <v>46724</v>
      </c>
      <c r="R45" s="62" t="s">
        <v>2440</v>
      </c>
      <c r="S45" s="142" t="s">
        <v>2442</v>
      </c>
      <c r="T45" s="35" t="s">
        <v>2443</v>
      </c>
      <c r="U45" s="142" t="s">
        <v>535</v>
      </c>
      <c r="V45" s="142" t="s">
        <v>2953</v>
      </c>
      <c r="W45" s="142">
        <v>2558</v>
      </c>
      <c r="X45" s="143">
        <v>101769.54</v>
      </c>
      <c r="Y45" s="143">
        <v>95015.97</v>
      </c>
      <c r="Z45" s="69" t="s">
        <v>3741</v>
      </c>
      <c r="AA45" s="82"/>
      <c r="AB45" s="82"/>
      <c r="AC45" s="82"/>
      <c r="AD45" s="82"/>
      <c r="AE45" s="82"/>
      <c r="AF45" s="82"/>
      <c r="AG45" s="95"/>
      <c r="AH45" s="95"/>
      <c r="AI45" s="69"/>
      <c r="AJ45" s="35"/>
      <c r="AK45" s="66"/>
      <c r="AL45" s="66"/>
      <c r="AM45" s="145">
        <f t="shared" si="0"/>
        <v>0</v>
      </c>
      <c r="AN45" s="146">
        <f t="shared" si="1"/>
        <v>0</v>
      </c>
      <c r="AO45" s="69"/>
    </row>
    <row r="46" spans="1:41" ht="25.5">
      <c r="A46" s="35">
        <v>42</v>
      </c>
      <c r="B46" s="35" t="s">
        <v>2</v>
      </c>
      <c r="C46" s="35" t="s">
        <v>2</v>
      </c>
      <c r="D46" s="35">
        <v>2</v>
      </c>
      <c r="E46" s="35" t="s">
        <v>531</v>
      </c>
      <c r="F46" s="142" t="s">
        <v>533</v>
      </c>
      <c r="G46" s="69" t="s">
        <v>2489</v>
      </c>
      <c r="H46" s="35" t="s">
        <v>4166</v>
      </c>
      <c r="I46" s="35" t="s">
        <v>4127</v>
      </c>
      <c r="J46" s="139">
        <v>29104391</v>
      </c>
      <c r="K46" s="35" t="s">
        <v>2438</v>
      </c>
      <c r="L46" s="35">
        <v>3447000</v>
      </c>
      <c r="M46" s="35" t="s">
        <v>3735</v>
      </c>
      <c r="N46" s="35" t="s">
        <v>4181</v>
      </c>
      <c r="O46" s="35">
        <v>3428</v>
      </c>
      <c r="P46" s="140">
        <v>43073</v>
      </c>
      <c r="Q46" s="140">
        <v>46724</v>
      </c>
      <c r="R46" s="62" t="s">
        <v>2440</v>
      </c>
      <c r="S46" s="62" t="s">
        <v>2441</v>
      </c>
      <c r="T46" s="35" t="s">
        <v>2443</v>
      </c>
      <c r="U46" s="142" t="s">
        <v>2954</v>
      </c>
      <c r="V46" s="142" t="s">
        <v>1836</v>
      </c>
      <c r="W46" s="142">
        <v>2559</v>
      </c>
      <c r="X46" s="143">
        <v>101864.19</v>
      </c>
      <c r="Y46" s="143">
        <v>94959.85</v>
      </c>
      <c r="Z46" s="69" t="s">
        <v>3741</v>
      </c>
      <c r="AA46" s="82"/>
      <c r="AB46" s="82"/>
      <c r="AC46" s="82"/>
      <c r="AD46" s="82"/>
      <c r="AE46" s="82"/>
      <c r="AF46" s="82"/>
      <c r="AG46" s="95"/>
      <c r="AH46" s="95"/>
      <c r="AI46" s="69"/>
      <c r="AJ46" s="35"/>
      <c r="AK46" s="66"/>
      <c r="AL46" s="66"/>
      <c r="AM46" s="145">
        <f t="shared" si="0"/>
        <v>0</v>
      </c>
      <c r="AN46" s="146">
        <f t="shared" si="1"/>
        <v>0</v>
      </c>
      <c r="AO46" s="69"/>
    </row>
    <row r="47" spans="1:41" ht="70.5" customHeight="1">
      <c r="A47" s="35">
        <v>43</v>
      </c>
      <c r="B47" s="35" t="s">
        <v>2</v>
      </c>
      <c r="C47" s="35" t="s">
        <v>2</v>
      </c>
      <c r="D47" s="35">
        <v>2</v>
      </c>
      <c r="E47" s="35" t="s">
        <v>508</v>
      </c>
      <c r="F47" s="35" t="s">
        <v>536</v>
      </c>
      <c r="G47" s="69" t="s">
        <v>2489</v>
      </c>
      <c r="H47" s="35" t="s">
        <v>4166</v>
      </c>
      <c r="I47" s="35" t="s">
        <v>4127</v>
      </c>
      <c r="J47" s="139">
        <v>29104391</v>
      </c>
      <c r="K47" s="35" t="s">
        <v>2438</v>
      </c>
      <c r="L47" s="35">
        <v>3447000</v>
      </c>
      <c r="M47" s="35" t="s">
        <v>3735</v>
      </c>
      <c r="N47" s="35" t="s">
        <v>4181</v>
      </c>
      <c r="O47" s="35">
        <v>3428</v>
      </c>
      <c r="P47" s="140">
        <v>43073</v>
      </c>
      <c r="Q47" s="140">
        <v>46724</v>
      </c>
      <c r="R47" s="62" t="s">
        <v>2440</v>
      </c>
      <c r="S47" s="142" t="s">
        <v>2442</v>
      </c>
      <c r="T47" s="35" t="s">
        <v>2443</v>
      </c>
      <c r="U47" s="142" t="s">
        <v>2955</v>
      </c>
      <c r="V47" s="142" t="s">
        <v>1837</v>
      </c>
      <c r="W47" s="142">
        <v>2558</v>
      </c>
      <c r="X47" s="143">
        <v>101905.36</v>
      </c>
      <c r="Y47" s="143">
        <v>94883.99</v>
      </c>
      <c r="Z47" s="69" t="s">
        <v>4143</v>
      </c>
      <c r="AA47" s="67">
        <v>43483</v>
      </c>
      <c r="AB47" s="147">
        <v>0.5722222222222222</v>
      </c>
      <c r="AC47" s="82"/>
      <c r="AD47" s="82"/>
      <c r="AE47" s="82"/>
      <c r="AF47" s="82"/>
      <c r="AG47" s="95"/>
      <c r="AH47" s="95"/>
      <c r="AI47" s="69"/>
      <c r="AJ47" s="35"/>
      <c r="AK47" s="82"/>
      <c r="AL47" s="82"/>
      <c r="AM47" s="117">
        <v>0</v>
      </c>
      <c r="AN47" s="118">
        <v>0</v>
      </c>
      <c r="AO47" s="82" t="s">
        <v>2413</v>
      </c>
    </row>
    <row r="48" spans="1:41" ht="25.5">
      <c r="A48" s="35">
        <v>44</v>
      </c>
      <c r="B48" s="35" t="s">
        <v>2</v>
      </c>
      <c r="C48" s="35" t="s">
        <v>2</v>
      </c>
      <c r="D48" s="35">
        <v>2</v>
      </c>
      <c r="E48" s="35" t="s">
        <v>537</v>
      </c>
      <c r="F48" s="142" t="s">
        <v>540</v>
      </c>
      <c r="G48" s="69" t="s">
        <v>2489</v>
      </c>
      <c r="H48" s="35" t="s">
        <v>4166</v>
      </c>
      <c r="I48" s="35" t="s">
        <v>4127</v>
      </c>
      <c r="J48" s="139">
        <v>29104391</v>
      </c>
      <c r="K48" s="35" t="s">
        <v>2438</v>
      </c>
      <c r="L48" s="35">
        <v>3447000</v>
      </c>
      <c r="M48" s="35" t="s">
        <v>3735</v>
      </c>
      <c r="N48" s="35" t="s">
        <v>4181</v>
      </c>
      <c r="O48" s="35">
        <v>3428</v>
      </c>
      <c r="P48" s="140">
        <v>43073</v>
      </c>
      <c r="Q48" s="140">
        <v>46724</v>
      </c>
      <c r="R48" s="62" t="s">
        <v>2440</v>
      </c>
      <c r="S48" s="62" t="s">
        <v>2441</v>
      </c>
      <c r="T48" s="35" t="s">
        <v>2443</v>
      </c>
      <c r="U48" s="142" t="s">
        <v>2956</v>
      </c>
      <c r="V48" s="142" t="s">
        <v>1838</v>
      </c>
      <c r="W48" s="142">
        <v>2558</v>
      </c>
      <c r="X48" s="143">
        <v>101951.76</v>
      </c>
      <c r="Y48" s="143">
        <v>94891.08</v>
      </c>
      <c r="Z48" s="69" t="s">
        <v>3741</v>
      </c>
      <c r="AA48" s="82"/>
      <c r="AB48" s="82"/>
      <c r="AC48" s="82"/>
      <c r="AD48" s="82"/>
      <c r="AE48" s="82"/>
      <c r="AF48" s="82"/>
      <c r="AG48" s="95"/>
      <c r="AH48" s="95"/>
      <c r="AI48" s="69"/>
      <c r="AJ48" s="35"/>
      <c r="AK48" s="66"/>
      <c r="AL48" s="66"/>
      <c r="AM48" s="145">
        <f t="shared" si="0"/>
        <v>0</v>
      </c>
      <c r="AN48" s="146">
        <f t="shared" si="1"/>
        <v>0</v>
      </c>
      <c r="AO48" s="69"/>
    </row>
    <row r="49" spans="1:41" ht="25.5">
      <c r="A49" s="35">
        <v>45</v>
      </c>
      <c r="B49" s="35" t="s">
        <v>2</v>
      </c>
      <c r="C49" s="35" t="s">
        <v>2</v>
      </c>
      <c r="D49" s="35">
        <v>2</v>
      </c>
      <c r="E49" s="35" t="s">
        <v>538</v>
      </c>
      <c r="F49" s="142" t="s">
        <v>541</v>
      </c>
      <c r="G49" s="69" t="s">
        <v>2489</v>
      </c>
      <c r="H49" s="35" t="s">
        <v>4166</v>
      </c>
      <c r="I49" s="35" t="s">
        <v>4127</v>
      </c>
      <c r="J49" s="139">
        <v>29104391</v>
      </c>
      <c r="K49" s="35" t="s">
        <v>2438</v>
      </c>
      <c r="L49" s="35">
        <v>3447000</v>
      </c>
      <c r="M49" s="35" t="s">
        <v>3735</v>
      </c>
      <c r="N49" s="35" t="s">
        <v>4181</v>
      </c>
      <c r="O49" s="35">
        <v>3428</v>
      </c>
      <c r="P49" s="140">
        <v>43073</v>
      </c>
      <c r="Q49" s="140">
        <v>46724</v>
      </c>
      <c r="R49" s="62" t="s">
        <v>2440</v>
      </c>
      <c r="S49" s="142" t="s">
        <v>2442</v>
      </c>
      <c r="T49" s="35" t="s">
        <v>2443</v>
      </c>
      <c r="U49" s="142" t="s">
        <v>2957</v>
      </c>
      <c r="V49" s="142" t="s">
        <v>1839</v>
      </c>
      <c r="W49" s="142">
        <v>2558</v>
      </c>
      <c r="X49" s="143">
        <v>102002.46</v>
      </c>
      <c r="Y49" s="143">
        <v>94817.08</v>
      </c>
      <c r="Z49" s="69" t="s">
        <v>3741</v>
      </c>
      <c r="AA49" s="82"/>
      <c r="AB49" s="82"/>
      <c r="AC49" s="82"/>
      <c r="AD49" s="82"/>
      <c r="AE49" s="82"/>
      <c r="AF49" s="82"/>
      <c r="AG49" s="95"/>
      <c r="AH49" s="95"/>
      <c r="AI49" s="69"/>
      <c r="AJ49" s="35"/>
      <c r="AK49" s="66"/>
      <c r="AL49" s="66"/>
      <c r="AM49" s="145">
        <f t="shared" si="0"/>
        <v>0</v>
      </c>
      <c r="AN49" s="146">
        <f t="shared" si="1"/>
        <v>0</v>
      </c>
      <c r="AO49" s="69"/>
    </row>
    <row r="50" spans="1:41" ht="25.5">
      <c r="A50" s="35">
        <v>46</v>
      </c>
      <c r="B50" s="35" t="s">
        <v>2</v>
      </c>
      <c r="C50" s="35" t="s">
        <v>2</v>
      </c>
      <c r="D50" s="35">
        <v>2</v>
      </c>
      <c r="E50" s="35" t="s">
        <v>539</v>
      </c>
      <c r="F50" s="142" t="s">
        <v>542</v>
      </c>
      <c r="G50" s="69" t="s">
        <v>2489</v>
      </c>
      <c r="H50" s="35" t="s">
        <v>4166</v>
      </c>
      <c r="I50" s="35" t="s">
        <v>4127</v>
      </c>
      <c r="J50" s="139">
        <v>29104391</v>
      </c>
      <c r="K50" s="35" t="s">
        <v>2438</v>
      </c>
      <c r="L50" s="35">
        <v>3447000</v>
      </c>
      <c r="M50" s="35" t="s">
        <v>3735</v>
      </c>
      <c r="N50" s="35" t="s">
        <v>4181</v>
      </c>
      <c r="O50" s="35">
        <v>3428</v>
      </c>
      <c r="P50" s="140">
        <v>43073</v>
      </c>
      <c r="Q50" s="140">
        <v>46724</v>
      </c>
      <c r="R50" s="62" t="s">
        <v>2440</v>
      </c>
      <c r="S50" s="62" t="s">
        <v>2441</v>
      </c>
      <c r="T50" s="35" t="s">
        <v>2443</v>
      </c>
      <c r="U50" s="142" t="s">
        <v>2958</v>
      </c>
      <c r="V50" s="142" t="s">
        <v>1840</v>
      </c>
      <c r="W50" s="142">
        <v>2557</v>
      </c>
      <c r="X50" s="143">
        <v>102114.32</v>
      </c>
      <c r="Y50" s="143">
        <v>94825.71</v>
      </c>
      <c r="Z50" s="69" t="s">
        <v>3741</v>
      </c>
      <c r="AA50" s="82"/>
      <c r="AB50" s="82"/>
      <c r="AC50" s="82"/>
      <c r="AD50" s="82"/>
      <c r="AE50" s="82"/>
      <c r="AF50" s="82"/>
      <c r="AG50" s="95"/>
      <c r="AH50" s="95"/>
      <c r="AI50" s="69"/>
      <c r="AJ50" s="35"/>
      <c r="AK50" s="66"/>
      <c r="AL50" s="66"/>
      <c r="AM50" s="145">
        <f t="shared" si="0"/>
        <v>0</v>
      </c>
      <c r="AN50" s="146">
        <f t="shared" si="1"/>
        <v>0</v>
      </c>
      <c r="AO50" s="69"/>
    </row>
    <row r="51" spans="1:41" ht="101.25" customHeight="1">
      <c r="A51" s="35">
        <v>47</v>
      </c>
      <c r="B51" s="35" t="s">
        <v>2</v>
      </c>
      <c r="C51" s="35" t="s">
        <v>2</v>
      </c>
      <c r="D51" s="35">
        <v>2</v>
      </c>
      <c r="E51" s="35" t="s">
        <v>509</v>
      </c>
      <c r="F51" s="35" t="s">
        <v>543</v>
      </c>
      <c r="G51" s="69" t="s">
        <v>2490</v>
      </c>
      <c r="H51" s="35" t="s">
        <v>4166</v>
      </c>
      <c r="I51" s="35" t="s">
        <v>4127</v>
      </c>
      <c r="J51" s="139">
        <v>29104391</v>
      </c>
      <c r="K51" s="35" t="s">
        <v>2438</v>
      </c>
      <c r="L51" s="35">
        <v>3447000</v>
      </c>
      <c r="M51" s="35" t="s">
        <v>3735</v>
      </c>
      <c r="N51" s="35" t="s">
        <v>4181</v>
      </c>
      <c r="O51" s="35">
        <v>3428</v>
      </c>
      <c r="P51" s="140">
        <v>43073</v>
      </c>
      <c r="Q51" s="140">
        <v>46724</v>
      </c>
      <c r="R51" s="62" t="s">
        <v>2440</v>
      </c>
      <c r="S51" s="142" t="s">
        <v>2442</v>
      </c>
      <c r="T51" s="35" t="s">
        <v>2443</v>
      </c>
      <c r="U51" s="142" t="s">
        <v>2959</v>
      </c>
      <c r="V51" s="142" t="s">
        <v>1841</v>
      </c>
      <c r="W51" s="142">
        <v>2555</v>
      </c>
      <c r="X51" s="143">
        <v>102262.74</v>
      </c>
      <c r="Y51" s="143">
        <v>94771.44</v>
      </c>
      <c r="Z51" s="69" t="s">
        <v>4068</v>
      </c>
      <c r="AA51" s="67">
        <v>43483</v>
      </c>
      <c r="AB51" s="147">
        <v>0.5875</v>
      </c>
      <c r="AC51" s="82"/>
      <c r="AD51" s="82"/>
      <c r="AE51" s="82"/>
      <c r="AF51" s="82"/>
      <c r="AG51" s="95"/>
      <c r="AH51" s="95"/>
      <c r="AI51" s="69"/>
      <c r="AJ51" s="35"/>
      <c r="AK51" s="82"/>
      <c r="AL51" s="82"/>
      <c r="AM51" s="117">
        <v>1699.3347163462868</v>
      </c>
      <c r="AN51" s="118">
        <v>1080.2185507010454</v>
      </c>
      <c r="AO51" s="82" t="s">
        <v>2413</v>
      </c>
    </row>
    <row r="52" spans="1:41" ht="25.5">
      <c r="A52" s="35">
        <v>48</v>
      </c>
      <c r="B52" s="35" t="s">
        <v>2</v>
      </c>
      <c r="C52" s="35" t="s">
        <v>2</v>
      </c>
      <c r="D52" s="35">
        <v>2</v>
      </c>
      <c r="E52" s="35" t="s">
        <v>510</v>
      </c>
      <c r="F52" s="35" t="s">
        <v>2076</v>
      </c>
      <c r="G52" s="35" t="s">
        <v>2490</v>
      </c>
      <c r="H52" s="35" t="s">
        <v>4166</v>
      </c>
      <c r="I52" s="35" t="s">
        <v>4127</v>
      </c>
      <c r="J52" s="139">
        <v>29104391</v>
      </c>
      <c r="K52" s="35" t="s">
        <v>2438</v>
      </c>
      <c r="L52" s="35">
        <v>3447000</v>
      </c>
      <c r="M52" s="35" t="s">
        <v>3735</v>
      </c>
      <c r="N52" s="35" t="s">
        <v>4181</v>
      </c>
      <c r="O52" s="35">
        <v>3428</v>
      </c>
      <c r="P52" s="140">
        <v>43073</v>
      </c>
      <c r="Q52" s="140">
        <v>46724</v>
      </c>
      <c r="R52" s="35" t="s">
        <v>2440</v>
      </c>
      <c r="S52" s="138" t="s">
        <v>2442</v>
      </c>
      <c r="T52" s="35" t="s">
        <v>2443</v>
      </c>
      <c r="U52" s="138" t="s">
        <v>2960</v>
      </c>
      <c r="V52" s="138" t="s">
        <v>2961</v>
      </c>
      <c r="W52" s="138">
        <v>2555</v>
      </c>
      <c r="X52" s="143">
        <v>103459.35</v>
      </c>
      <c r="Y52" s="143">
        <v>94774.79</v>
      </c>
      <c r="Z52" s="35" t="s">
        <v>3928</v>
      </c>
      <c r="AA52" s="163">
        <v>43551</v>
      </c>
      <c r="AB52" s="164">
        <v>0.5916666666666667</v>
      </c>
      <c r="AC52" s="69"/>
      <c r="AD52" s="93"/>
      <c r="AE52" s="93"/>
      <c r="AF52" s="93"/>
      <c r="AG52" s="93"/>
      <c r="AH52" s="93"/>
      <c r="AI52" s="93"/>
      <c r="AJ52" s="93"/>
      <c r="AK52" s="93"/>
      <c r="AL52" s="93"/>
      <c r="AM52" s="118">
        <v>0</v>
      </c>
      <c r="AN52" s="118">
        <v>0</v>
      </c>
      <c r="AO52" s="165" t="s">
        <v>2413</v>
      </c>
    </row>
    <row r="53" spans="1:41" ht="12.75" customHeight="1">
      <c r="A53" s="35">
        <v>49</v>
      </c>
      <c r="B53" s="35" t="s">
        <v>2</v>
      </c>
      <c r="C53" s="35" t="s">
        <v>2</v>
      </c>
      <c r="D53" s="35">
        <v>2</v>
      </c>
      <c r="E53" s="35" t="s">
        <v>544</v>
      </c>
      <c r="F53" s="142" t="s">
        <v>2077</v>
      </c>
      <c r="G53" s="69" t="s">
        <v>2490</v>
      </c>
      <c r="H53" s="35" t="s">
        <v>4166</v>
      </c>
      <c r="I53" s="35" t="s">
        <v>4127</v>
      </c>
      <c r="J53" s="139">
        <v>29104391</v>
      </c>
      <c r="K53" s="35" t="s">
        <v>2438</v>
      </c>
      <c r="L53" s="35">
        <v>3447000</v>
      </c>
      <c r="M53" s="35" t="s">
        <v>3735</v>
      </c>
      <c r="N53" s="35" t="s">
        <v>4181</v>
      </c>
      <c r="O53" s="35">
        <v>3428</v>
      </c>
      <c r="P53" s="140">
        <v>43073</v>
      </c>
      <c r="Q53" s="140">
        <v>46724</v>
      </c>
      <c r="R53" s="62" t="s">
        <v>2440</v>
      </c>
      <c r="S53" s="142" t="s">
        <v>2442</v>
      </c>
      <c r="T53" s="35" t="s">
        <v>2443</v>
      </c>
      <c r="U53" s="142" t="s">
        <v>2962</v>
      </c>
      <c r="V53" s="142" t="s">
        <v>1842</v>
      </c>
      <c r="W53" s="142">
        <v>2557</v>
      </c>
      <c r="X53" s="143">
        <v>102516.26</v>
      </c>
      <c r="Y53" s="143">
        <v>94740.59</v>
      </c>
      <c r="Z53" s="69" t="s">
        <v>3741</v>
      </c>
      <c r="AA53" s="82"/>
      <c r="AB53" s="82"/>
      <c r="AC53" s="82"/>
      <c r="AD53" s="82"/>
      <c r="AE53" s="82"/>
      <c r="AF53" s="82"/>
      <c r="AG53" s="95"/>
      <c r="AH53" s="95"/>
      <c r="AI53" s="69"/>
      <c r="AJ53" s="35"/>
      <c r="AK53" s="66"/>
      <c r="AL53" s="66"/>
      <c r="AM53" s="145">
        <f t="shared" si="0"/>
        <v>0</v>
      </c>
      <c r="AN53" s="146">
        <f t="shared" si="1"/>
        <v>0</v>
      </c>
      <c r="AO53" s="69"/>
    </row>
    <row r="54" spans="1:41" ht="25.5">
      <c r="A54" s="35">
        <v>50</v>
      </c>
      <c r="B54" s="35" t="s">
        <v>2</v>
      </c>
      <c r="C54" s="35" t="s">
        <v>2</v>
      </c>
      <c r="D54" s="35">
        <v>2</v>
      </c>
      <c r="E54" s="35" t="s">
        <v>545</v>
      </c>
      <c r="F54" s="142" t="s">
        <v>554</v>
      </c>
      <c r="G54" s="69" t="s">
        <v>2490</v>
      </c>
      <c r="H54" s="35" t="s">
        <v>4166</v>
      </c>
      <c r="I54" s="35" t="s">
        <v>4127</v>
      </c>
      <c r="J54" s="139">
        <v>29104391</v>
      </c>
      <c r="K54" s="35" t="s">
        <v>2438</v>
      </c>
      <c r="L54" s="35">
        <v>3447000</v>
      </c>
      <c r="M54" s="35" t="s">
        <v>3735</v>
      </c>
      <c r="N54" s="35" t="s">
        <v>4181</v>
      </c>
      <c r="O54" s="35">
        <v>3428</v>
      </c>
      <c r="P54" s="140">
        <v>43073</v>
      </c>
      <c r="Q54" s="140">
        <v>46724</v>
      </c>
      <c r="R54" s="62" t="s">
        <v>2440</v>
      </c>
      <c r="S54" s="62" t="s">
        <v>2441</v>
      </c>
      <c r="T54" s="35" t="s">
        <v>2443</v>
      </c>
      <c r="U54" s="142" t="s">
        <v>2963</v>
      </c>
      <c r="V54" s="142" t="s">
        <v>1845</v>
      </c>
      <c r="W54" s="142">
        <v>2555</v>
      </c>
      <c r="X54" s="143">
        <v>102624.12</v>
      </c>
      <c r="Y54" s="143">
        <v>94763.41</v>
      </c>
      <c r="Z54" s="35" t="s">
        <v>3929</v>
      </c>
      <c r="AA54" s="104">
        <v>43550</v>
      </c>
      <c r="AB54" s="135">
        <v>0.5833333333333334</v>
      </c>
      <c r="AC54" s="69"/>
      <c r="AD54" s="93"/>
      <c r="AE54" s="93"/>
      <c r="AF54" s="93"/>
      <c r="AG54" s="93"/>
      <c r="AH54" s="93"/>
      <c r="AI54" s="93"/>
      <c r="AJ54" s="93"/>
      <c r="AK54" s="93"/>
      <c r="AL54" s="93"/>
      <c r="AM54" s="117">
        <v>0</v>
      </c>
      <c r="AN54" s="118">
        <v>0</v>
      </c>
      <c r="AO54" s="82" t="s">
        <v>2413</v>
      </c>
    </row>
    <row r="55" spans="1:41" ht="12.75" customHeight="1">
      <c r="A55" s="35">
        <v>51</v>
      </c>
      <c r="B55" s="35" t="s">
        <v>2</v>
      </c>
      <c r="C55" s="35" t="s">
        <v>2</v>
      </c>
      <c r="D55" s="35">
        <v>2</v>
      </c>
      <c r="E55" s="35" t="s">
        <v>546</v>
      </c>
      <c r="F55" s="142" t="s">
        <v>2078</v>
      </c>
      <c r="G55" s="69" t="s">
        <v>2490</v>
      </c>
      <c r="H55" s="35" t="s">
        <v>4166</v>
      </c>
      <c r="I55" s="35" t="s">
        <v>4127</v>
      </c>
      <c r="J55" s="139">
        <v>29104391</v>
      </c>
      <c r="K55" s="35" t="s">
        <v>2438</v>
      </c>
      <c r="L55" s="35">
        <v>3447000</v>
      </c>
      <c r="M55" s="35" t="s">
        <v>3735</v>
      </c>
      <c r="N55" s="35" t="s">
        <v>4181</v>
      </c>
      <c r="O55" s="35">
        <v>3428</v>
      </c>
      <c r="P55" s="140">
        <v>43073</v>
      </c>
      <c r="Q55" s="140">
        <v>46724</v>
      </c>
      <c r="R55" s="62" t="s">
        <v>2440</v>
      </c>
      <c r="S55" s="62" t="s">
        <v>2441</v>
      </c>
      <c r="T55" s="35" t="s">
        <v>2443</v>
      </c>
      <c r="U55" s="142" t="s">
        <v>2964</v>
      </c>
      <c r="V55" s="142" t="s">
        <v>1843</v>
      </c>
      <c r="W55" s="142">
        <v>2555</v>
      </c>
      <c r="X55" s="143">
        <v>102716.92</v>
      </c>
      <c r="Y55" s="143">
        <v>94694.34</v>
      </c>
      <c r="Z55" s="69" t="s">
        <v>3741</v>
      </c>
      <c r="AA55" s="82"/>
      <c r="AB55" s="82"/>
      <c r="AC55" s="82"/>
      <c r="AD55" s="82"/>
      <c r="AE55" s="82"/>
      <c r="AF55" s="82"/>
      <c r="AG55" s="95"/>
      <c r="AH55" s="95"/>
      <c r="AI55" s="69"/>
      <c r="AJ55" s="35"/>
      <c r="AK55" s="66"/>
      <c r="AL55" s="66"/>
      <c r="AM55" s="145">
        <f t="shared" si="0"/>
        <v>0</v>
      </c>
      <c r="AN55" s="146">
        <f t="shared" si="1"/>
        <v>0</v>
      </c>
      <c r="AO55" s="69"/>
    </row>
    <row r="56" spans="1:41" ht="12.75" customHeight="1">
      <c r="A56" s="35">
        <v>52</v>
      </c>
      <c r="B56" s="35" t="s">
        <v>2</v>
      </c>
      <c r="C56" s="35" t="s">
        <v>2</v>
      </c>
      <c r="D56" s="35">
        <v>2</v>
      </c>
      <c r="E56" s="35" t="s">
        <v>547</v>
      </c>
      <c r="F56" s="142" t="s">
        <v>555</v>
      </c>
      <c r="G56" s="69" t="s">
        <v>2490</v>
      </c>
      <c r="H56" s="35" t="s">
        <v>4166</v>
      </c>
      <c r="I56" s="35" t="s">
        <v>4127</v>
      </c>
      <c r="J56" s="139">
        <v>29104391</v>
      </c>
      <c r="K56" s="35" t="s">
        <v>2438</v>
      </c>
      <c r="L56" s="35">
        <v>3447000</v>
      </c>
      <c r="M56" s="35" t="s">
        <v>3735</v>
      </c>
      <c r="N56" s="35" t="s">
        <v>4181</v>
      </c>
      <c r="O56" s="35">
        <v>3428</v>
      </c>
      <c r="P56" s="140">
        <v>43073</v>
      </c>
      <c r="Q56" s="140">
        <v>46724</v>
      </c>
      <c r="R56" s="62" t="s">
        <v>2440</v>
      </c>
      <c r="S56" s="142" t="s">
        <v>2442</v>
      </c>
      <c r="T56" s="35" t="s">
        <v>2443</v>
      </c>
      <c r="U56" s="142" t="s">
        <v>2965</v>
      </c>
      <c r="V56" s="142" t="s">
        <v>1844</v>
      </c>
      <c r="W56" s="142">
        <v>2555</v>
      </c>
      <c r="X56" s="143">
        <v>102692.03</v>
      </c>
      <c r="Y56" s="143">
        <v>94686.32</v>
      </c>
      <c r="Z56" s="69" t="s">
        <v>3741</v>
      </c>
      <c r="AA56" s="82"/>
      <c r="AB56" s="82"/>
      <c r="AC56" s="82"/>
      <c r="AD56" s="82"/>
      <c r="AE56" s="82"/>
      <c r="AF56" s="82"/>
      <c r="AG56" s="95"/>
      <c r="AH56" s="95"/>
      <c r="AI56" s="69"/>
      <c r="AJ56" s="35"/>
      <c r="AK56" s="66"/>
      <c r="AL56" s="66"/>
      <c r="AM56" s="145">
        <f t="shared" si="0"/>
        <v>0</v>
      </c>
      <c r="AN56" s="146">
        <f t="shared" si="1"/>
        <v>0</v>
      </c>
      <c r="AO56" s="69"/>
    </row>
    <row r="57" spans="1:41" ht="12.75" customHeight="1">
      <c r="A57" s="35">
        <v>53</v>
      </c>
      <c r="B57" s="35" t="s">
        <v>2</v>
      </c>
      <c r="C57" s="35" t="s">
        <v>2</v>
      </c>
      <c r="D57" s="35">
        <v>2</v>
      </c>
      <c r="E57" s="35" t="s">
        <v>548</v>
      </c>
      <c r="F57" s="142" t="s">
        <v>555</v>
      </c>
      <c r="G57" s="69" t="s">
        <v>2490</v>
      </c>
      <c r="H57" s="35" t="s">
        <v>4166</v>
      </c>
      <c r="I57" s="35" t="s">
        <v>4127</v>
      </c>
      <c r="J57" s="139">
        <v>29104391</v>
      </c>
      <c r="K57" s="35" t="s">
        <v>2438</v>
      </c>
      <c r="L57" s="35">
        <v>3447000</v>
      </c>
      <c r="M57" s="35" t="s">
        <v>3735</v>
      </c>
      <c r="N57" s="35" t="s">
        <v>4181</v>
      </c>
      <c r="O57" s="35">
        <v>3428</v>
      </c>
      <c r="P57" s="140">
        <v>43073</v>
      </c>
      <c r="Q57" s="140">
        <v>46724</v>
      </c>
      <c r="R57" s="62" t="s">
        <v>2440</v>
      </c>
      <c r="S57" s="142" t="s">
        <v>2442</v>
      </c>
      <c r="T57" s="35" t="s">
        <v>2443</v>
      </c>
      <c r="U57" s="142" t="s">
        <v>2966</v>
      </c>
      <c r="V57" s="142" t="s">
        <v>2967</v>
      </c>
      <c r="W57" s="142">
        <v>2555</v>
      </c>
      <c r="X57" s="143">
        <v>102722.14</v>
      </c>
      <c r="Y57" s="143">
        <v>94636.37</v>
      </c>
      <c r="Z57" s="69" t="s">
        <v>3741</v>
      </c>
      <c r="AA57" s="82"/>
      <c r="AB57" s="82"/>
      <c r="AC57" s="82"/>
      <c r="AD57" s="82"/>
      <c r="AE57" s="82"/>
      <c r="AF57" s="82"/>
      <c r="AG57" s="95"/>
      <c r="AH57" s="95"/>
      <c r="AI57" s="69"/>
      <c r="AJ57" s="35"/>
      <c r="AK57" s="66"/>
      <c r="AL57" s="66"/>
      <c r="AM57" s="145">
        <f t="shared" si="0"/>
        <v>0</v>
      </c>
      <c r="AN57" s="146">
        <f t="shared" si="1"/>
        <v>0</v>
      </c>
      <c r="AO57" s="69"/>
    </row>
    <row r="58" spans="1:41" ht="12.75" customHeight="1">
      <c r="A58" s="35">
        <v>54</v>
      </c>
      <c r="B58" s="35" t="s">
        <v>2</v>
      </c>
      <c r="C58" s="35" t="s">
        <v>2</v>
      </c>
      <c r="D58" s="35">
        <v>2</v>
      </c>
      <c r="E58" s="35" t="s">
        <v>549</v>
      </c>
      <c r="F58" s="142" t="s">
        <v>2079</v>
      </c>
      <c r="G58" s="69" t="s">
        <v>2490</v>
      </c>
      <c r="H58" s="35" t="s">
        <v>4166</v>
      </c>
      <c r="I58" s="35" t="s">
        <v>4127</v>
      </c>
      <c r="J58" s="139">
        <v>29104391</v>
      </c>
      <c r="K58" s="35" t="s">
        <v>2438</v>
      </c>
      <c r="L58" s="35">
        <v>3447000</v>
      </c>
      <c r="M58" s="35" t="s">
        <v>3735</v>
      </c>
      <c r="N58" s="35" t="s">
        <v>4181</v>
      </c>
      <c r="O58" s="35">
        <v>3428</v>
      </c>
      <c r="P58" s="140">
        <v>43073</v>
      </c>
      <c r="Q58" s="140">
        <v>46724</v>
      </c>
      <c r="R58" s="62" t="s">
        <v>2440</v>
      </c>
      <c r="S58" s="62" t="s">
        <v>2441</v>
      </c>
      <c r="T58" s="35" t="s">
        <v>2443</v>
      </c>
      <c r="U58" s="142" t="s">
        <v>2968</v>
      </c>
      <c r="V58" s="142" t="s">
        <v>2969</v>
      </c>
      <c r="W58" s="142">
        <v>2555</v>
      </c>
      <c r="X58" s="143">
        <v>102728.6</v>
      </c>
      <c r="Y58" s="143">
        <v>94677.68</v>
      </c>
      <c r="Z58" s="69" t="s">
        <v>3744</v>
      </c>
      <c r="AA58" s="104">
        <v>43486</v>
      </c>
      <c r="AB58" s="82" t="s">
        <v>2533</v>
      </c>
      <c r="AC58" s="82">
        <v>149</v>
      </c>
      <c r="AD58" s="82">
        <v>99</v>
      </c>
      <c r="AE58" s="82">
        <f>((0.133+0.13+0.126+0.127+0.125)/5)</f>
        <v>0.1282</v>
      </c>
      <c r="AF58" s="82">
        <v>24</v>
      </c>
      <c r="AG58" s="95">
        <f>AE58*AC58*AF58*0.0036</f>
        <v>1.6503955200000002</v>
      </c>
      <c r="AH58" s="95">
        <f>AE58*AD58*AF58*0.0036</f>
        <v>1.0965715200000001</v>
      </c>
      <c r="AI58" s="69">
        <v>30</v>
      </c>
      <c r="AJ58" s="35">
        <v>12</v>
      </c>
      <c r="AK58" s="82">
        <v>0.58</v>
      </c>
      <c r="AL58" s="82">
        <v>0.59</v>
      </c>
      <c r="AM58" s="145">
        <f t="shared" si="0"/>
        <v>344.60258457599997</v>
      </c>
      <c r="AN58" s="146">
        <f t="shared" si="1"/>
        <v>232.911790848</v>
      </c>
      <c r="AO58" s="69" t="s">
        <v>2413</v>
      </c>
    </row>
    <row r="59" spans="1:41" ht="25.5">
      <c r="A59" s="35">
        <v>55</v>
      </c>
      <c r="B59" s="35" t="s">
        <v>2</v>
      </c>
      <c r="C59" s="35" t="s">
        <v>2</v>
      </c>
      <c r="D59" s="35">
        <v>2</v>
      </c>
      <c r="E59" s="35" t="s">
        <v>550</v>
      </c>
      <c r="F59" s="142" t="s">
        <v>556</v>
      </c>
      <c r="G59" s="69" t="s">
        <v>2490</v>
      </c>
      <c r="H59" s="35" t="s">
        <v>4166</v>
      </c>
      <c r="I59" s="35" t="s">
        <v>4127</v>
      </c>
      <c r="J59" s="139">
        <v>29104391</v>
      </c>
      <c r="K59" s="35" t="s">
        <v>2438</v>
      </c>
      <c r="L59" s="35">
        <v>3447000</v>
      </c>
      <c r="M59" s="35" t="s">
        <v>3735</v>
      </c>
      <c r="N59" s="35" t="s">
        <v>4181</v>
      </c>
      <c r="O59" s="35">
        <v>3428</v>
      </c>
      <c r="P59" s="140">
        <v>43073</v>
      </c>
      <c r="Q59" s="140">
        <v>46724</v>
      </c>
      <c r="R59" s="62" t="s">
        <v>2440</v>
      </c>
      <c r="S59" s="142" t="s">
        <v>2442</v>
      </c>
      <c r="T59" s="35" t="s">
        <v>2443</v>
      </c>
      <c r="U59" s="142" t="s">
        <v>2970</v>
      </c>
      <c r="V59" s="142" t="s">
        <v>1846</v>
      </c>
      <c r="W59" s="142">
        <v>2554</v>
      </c>
      <c r="X59" s="143">
        <v>102902.22</v>
      </c>
      <c r="Y59" s="143">
        <v>94575</v>
      </c>
      <c r="Z59" s="69" t="s">
        <v>3744</v>
      </c>
      <c r="AA59" s="67">
        <v>43486</v>
      </c>
      <c r="AB59" s="69" t="s">
        <v>2535</v>
      </c>
      <c r="AC59" s="82">
        <v>106</v>
      </c>
      <c r="AD59" s="82">
        <v>51</v>
      </c>
      <c r="AE59" s="82">
        <f>((2.676+2.652+2.48+2.463+2.396)/5)</f>
        <v>2.5334000000000003</v>
      </c>
      <c r="AF59" s="82">
        <v>24</v>
      </c>
      <c r="AG59" s="95">
        <f>AE59*AC59*AF59*0.0036</f>
        <v>23.20189056</v>
      </c>
      <c r="AH59" s="95">
        <f>AE59*AD59*AF59*0.0036</f>
        <v>11.163173760000001</v>
      </c>
      <c r="AI59" s="69">
        <v>30</v>
      </c>
      <c r="AJ59" s="35">
        <v>12</v>
      </c>
      <c r="AK59" s="69">
        <v>0.64</v>
      </c>
      <c r="AL59" s="69">
        <v>0.64</v>
      </c>
      <c r="AM59" s="117">
        <f t="shared" si="0"/>
        <v>5345.715585024001</v>
      </c>
      <c r="AN59" s="118">
        <f t="shared" si="1"/>
        <v>2571.995234304</v>
      </c>
      <c r="AO59" s="82" t="s">
        <v>2413</v>
      </c>
    </row>
    <row r="60" spans="1:41" ht="12.75" customHeight="1">
      <c r="A60" s="35">
        <v>56</v>
      </c>
      <c r="B60" s="35" t="s">
        <v>2</v>
      </c>
      <c r="C60" s="35" t="s">
        <v>2</v>
      </c>
      <c r="D60" s="35">
        <v>2</v>
      </c>
      <c r="E60" s="35" t="s">
        <v>551</v>
      </c>
      <c r="F60" s="142" t="s">
        <v>557</v>
      </c>
      <c r="G60" s="69" t="s">
        <v>2490</v>
      </c>
      <c r="H60" s="35" t="s">
        <v>4166</v>
      </c>
      <c r="I60" s="35" t="s">
        <v>4127</v>
      </c>
      <c r="J60" s="139">
        <v>29104391</v>
      </c>
      <c r="K60" s="35" t="s">
        <v>2438</v>
      </c>
      <c r="L60" s="35">
        <v>3447000</v>
      </c>
      <c r="M60" s="35" t="s">
        <v>3735</v>
      </c>
      <c r="N60" s="35" t="s">
        <v>4181</v>
      </c>
      <c r="O60" s="35">
        <v>3428</v>
      </c>
      <c r="P60" s="140">
        <v>43073</v>
      </c>
      <c r="Q60" s="140">
        <v>46724</v>
      </c>
      <c r="R60" s="62" t="s">
        <v>2440</v>
      </c>
      <c r="S60" s="62" t="s">
        <v>2441</v>
      </c>
      <c r="T60" s="35" t="s">
        <v>2443</v>
      </c>
      <c r="U60" s="142" t="s">
        <v>2971</v>
      </c>
      <c r="V60" s="142" t="s">
        <v>1847</v>
      </c>
      <c r="W60" s="142">
        <v>2554</v>
      </c>
      <c r="X60" s="143">
        <v>103064.47</v>
      </c>
      <c r="Y60" s="143">
        <v>94588.25</v>
      </c>
      <c r="Z60" s="69" t="s">
        <v>3741</v>
      </c>
      <c r="AA60" s="82"/>
      <c r="AB60" s="82"/>
      <c r="AC60" s="82"/>
      <c r="AD60" s="82"/>
      <c r="AE60" s="82"/>
      <c r="AF60" s="82"/>
      <c r="AG60" s="95"/>
      <c r="AH60" s="95"/>
      <c r="AI60" s="69"/>
      <c r="AJ60" s="35"/>
      <c r="AK60" s="66"/>
      <c r="AL60" s="66"/>
      <c r="AM60" s="145">
        <f t="shared" si="0"/>
        <v>0</v>
      </c>
      <c r="AN60" s="146">
        <f t="shared" si="1"/>
        <v>0</v>
      </c>
      <c r="AO60" s="69"/>
    </row>
    <row r="61" spans="1:41" ht="12.75" customHeight="1">
      <c r="A61" s="35">
        <v>57</v>
      </c>
      <c r="B61" s="35" t="s">
        <v>2</v>
      </c>
      <c r="C61" s="35" t="s">
        <v>2</v>
      </c>
      <c r="D61" s="35">
        <v>2</v>
      </c>
      <c r="E61" s="35" t="s">
        <v>552</v>
      </c>
      <c r="F61" s="142" t="s">
        <v>558</v>
      </c>
      <c r="G61" s="69" t="s">
        <v>2490</v>
      </c>
      <c r="H61" s="35" t="s">
        <v>4166</v>
      </c>
      <c r="I61" s="35" t="s">
        <v>4127</v>
      </c>
      <c r="J61" s="139">
        <v>29104391</v>
      </c>
      <c r="K61" s="35" t="s">
        <v>2438</v>
      </c>
      <c r="L61" s="35">
        <v>3447000</v>
      </c>
      <c r="M61" s="35" t="s">
        <v>3735</v>
      </c>
      <c r="N61" s="35" t="s">
        <v>4181</v>
      </c>
      <c r="O61" s="35">
        <v>3428</v>
      </c>
      <c r="P61" s="140">
        <v>43073</v>
      </c>
      <c r="Q61" s="140">
        <v>46724</v>
      </c>
      <c r="R61" s="62" t="s">
        <v>2440</v>
      </c>
      <c r="S61" s="62" t="s">
        <v>2441</v>
      </c>
      <c r="T61" s="35" t="s">
        <v>2443</v>
      </c>
      <c r="U61" s="142" t="s">
        <v>2972</v>
      </c>
      <c r="V61" s="142" t="s">
        <v>1848</v>
      </c>
      <c r="W61" s="142">
        <v>2554</v>
      </c>
      <c r="X61" s="143">
        <v>103079.22</v>
      </c>
      <c r="Y61" s="143">
        <v>94553.41</v>
      </c>
      <c r="Z61" s="69" t="s">
        <v>3741</v>
      </c>
      <c r="AA61" s="82"/>
      <c r="AB61" s="82"/>
      <c r="AC61" s="82"/>
      <c r="AD61" s="82"/>
      <c r="AE61" s="82"/>
      <c r="AF61" s="82"/>
      <c r="AG61" s="95"/>
      <c r="AH61" s="95"/>
      <c r="AI61" s="69"/>
      <c r="AJ61" s="35"/>
      <c r="AK61" s="66"/>
      <c r="AL61" s="66"/>
      <c r="AM61" s="145">
        <f t="shared" si="0"/>
        <v>0</v>
      </c>
      <c r="AN61" s="146">
        <f t="shared" si="1"/>
        <v>0</v>
      </c>
      <c r="AO61" s="69"/>
    </row>
    <row r="62" spans="1:41" ht="25.5">
      <c r="A62" s="35">
        <v>58</v>
      </c>
      <c r="B62" s="35" t="s">
        <v>2</v>
      </c>
      <c r="C62" s="35" t="s">
        <v>2</v>
      </c>
      <c r="D62" s="35">
        <v>2</v>
      </c>
      <c r="E62" s="35" t="s">
        <v>553</v>
      </c>
      <c r="F62" s="142" t="s">
        <v>559</v>
      </c>
      <c r="G62" s="69" t="s">
        <v>2490</v>
      </c>
      <c r="H62" s="35" t="s">
        <v>4166</v>
      </c>
      <c r="I62" s="35" t="s">
        <v>4127</v>
      </c>
      <c r="J62" s="139">
        <v>29104391</v>
      </c>
      <c r="K62" s="35" t="s">
        <v>2438</v>
      </c>
      <c r="L62" s="35">
        <v>3447000</v>
      </c>
      <c r="M62" s="35" t="s">
        <v>3735</v>
      </c>
      <c r="N62" s="35" t="s">
        <v>4181</v>
      </c>
      <c r="O62" s="35">
        <v>3428</v>
      </c>
      <c r="P62" s="140">
        <v>43073</v>
      </c>
      <c r="Q62" s="140">
        <v>46724</v>
      </c>
      <c r="R62" s="62" t="s">
        <v>2440</v>
      </c>
      <c r="S62" s="62" t="s">
        <v>2441</v>
      </c>
      <c r="T62" s="142" t="s">
        <v>2445</v>
      </c>
      <c r="U62" s="142" t="s">
        <v>2973</v>
      </c>
      <c r="V62" s="142" t="s">
        <v>1849</v>
      </c>
      <c r="W62" s="142">
        <v>2554</v>
      </c>
      <c r="X62" s="143">
        <v>103146.21</v>
      </c>
      <c r="Y62" s="143">
        <v>94544.78</v>
      </c>
      <c r="Z62" s="69" t="s">
        <v>3744</v>
      </c>
      <c r="AA62" s="67">
        <v>43489</v>
      </c>
      <c r="AB62" s="69" t="s">
        <v>3926</v>
      </c>
      <c r="AC62" s="82">
        <v>296</v>
      </c>
      <c r="AD62" s="82">
        <v>129</v>
      </c>
      <c r="AE62" s="82">
        <f>((0.317+0.298+0.403+0.391+0.253)/5)</f>
        <v>0.3324</v>
      </c>
      <c r="AF62" s="82">
        <v>24</v>
      </c>
      <c r="AG62" s="95">
        <f>AE62*AC62*AF62*0.0036</f>
        <v>8.500930559999999</v>
      </c>
      <c r="AH62" s="95">
        <f>AE62*AD62*AF62*0.0036</f>
        <v>3.70479744</v>
      </c>
      <c r="AI62" s="69">
        <v>30</v>
      </c>
      <c r="AJ62" s="35">
        <v>12</v>
      </c>
      <c r="AK62" s="69">
        <v>0.5</v>
      </c>
      <c r="AL62" s="69">
        <v>0.57</v>
      </c>
      <c r="AM62" s="117">
        <f t="shared" si="0"/>
        <v>1530.1675007999997</v>
      </c>
      <c r="AN62" s="118">
        <f t="shared" si="1"/>
        <v>760.224434688</v>
      </c>
      <c r="AO62" s="82" t="s">
        <v>2413</v>
      </c>
    </row>
    <row r="63" spans="1:41" ht="12.75" customHeight="1">
      <c r="A63" s="215" t="s">
        <v>2491</v>
      </c>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119">
        <f>'Subcuencas río Fucha'!AM21+'Subcuencas río Fucha'!AM43+'Subcuencas río Fucha'!AM69</f>
        <v>468038.6855921812</v>
      </c>
      <c r="AN63" s="119">
        <f>'Subcuencas río Fucha'!AN21+'Subcuencas río Fucha'!AN43+'Subcuencas río Fucha'!AN69</f>
        <v>968867.1167885821</v>
      </c>
      <c r="AO63" s="69"/>
    </row>
    <row r="64" spans="1:45" ht="12.75" customHeight="1">
      <c r="A64" s="213" t="s">
        <v>2492</v>
      </c>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73">
        <f>'Subcuencas río Fucha'!AM22+'Subcuencas río Fucha'!AM44+'Subcuencas río Fucha'!AM70</f>
        <v>1388585.3228273813</v>
      </c>
      <c r="AN64" s="73">
        <f>'Subcuencas río Fucha'!AN22+'Subcuencas río Fucha'!AN44+'Subcuencas río Fucha'!AN70</f>
        <v>1608581.3429645824</v>
      </c>
      <c r="AO64" s="69"/>
      <c r="AP64" s="107"/>
      <c r="AQ64" s="107"/>
      <c r="AR64" s="106"/>
      <c r="AS64" s="106"/>
    </row>
    <row r="65" spans="1:45" ht="12.75" customHeight="1">
      <c r="A65" s="215" t="s">
        <v>2414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119">
        <f>AM11+AM12+AM14+AM15+AM18+AM19+AM21+AM22+AM23+AM27+AM30+AM35+AM39+AM40+AM44+AM47+AM51+AM52+AM54+AM59+AM62+AM63</f>
        <v>634917.1693857985</v>
      </c>
      <c r="AN65" s="119">
        <f>AN11+AN12+AN14+AN15+AN18+AN19+AN21+AN22+AN23+AN27+AN30+AN35+AN39+AN40+AN44+AN47+AN51+AN52+AN54+AN59+AN62+AN63</f>
        <v>1190575.7414604719</v>
      </c>
      <c r="AO65" s="69"/>
      <c r="AP65" s="107"/>
      <c r="AQ65" s="107"/>
      <c r="AR65" s="8"/>
      <c r="AS65" s="8"/>
    </row>
    <row r="66" spans="1:45" ht="12.75" customHeight="1">
      <c r="A66" s="213" t="s">
        <v>2415</v>
      </c>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73">
        <f>SUM(AM11:AM62)+AM64</f>
        <v>1555808.4092055745</v>
      </c>
      <c r="AN66" s="73">
        <f>SUM(AN11:AN62)+AN64</f>
        <v>1830522.8794273203</v>
      </c>
      <c r="AO66" s="69"/>
      <c r="AP66" s="107"/>
      <c r="AQ66" s="107"/>
      <c r="AR66" s="8"/>
      <c r="AS66" s="8"/>
    </row>
    <row r="67" spans="1:41" s="8" customFormat="1" ht="12.75" customHeight="1">
      <c r="A67" s="35">
        <v>59</v>
      </c>
      <c r="B67" s="35" t="s">
        <v>2</v>
      </c>
      <c r="C67" s="35" t="s">
        <v>2</v>
      </c>
      <c r="D67" s="35">
        <v>3</v>
      </c>
      <c r="E67" s="35" t="s">
        <v>591</v>
      </c>
      <c r="F67" s="142" t="s">
        <v>594</v>
      </c>
      <c r="G67" s="69" t="s">
        <v>2490</v>
      </c>
      <c r="H67" s="35" t="s">
        <v>4166</v>
      </c>
      <c r="I67" s="35" t="s">
        <v>4127</v>
      </c>
      <c r="J67" s="139">
        <v>29104391</v>
      </c>
      <c r="K67" s="35" t="s">
        <v>2438</v>
      </c>
      <c r="L67" s="35">
        <v>3447000</v>
      </c>
      <c r="M67" s="35" t="s">
        <v>3735</v>
      </c>
      <c r="N67" s="35" t="s">
        <v>4181</v>
      </c>
      <c r="O67" s="35">
        <v>3428</v>
      </c>
      <c r="P67" s="140">
        <v>43073</v>
      </c>
      <c r="Q67" s="140">
        <v>46724</v>
      </c>
      <c r="R67" s="62" t="s">
        <v>2440</v>
      </c>
      <c r="S67" s="142" t="s">
        <v>2442</v>
      </c>
      <c r="T67" s="35" t="s">
        <v>2443</v>
      </c>
      <c r="U67" s="142" t="s">
        <v>2974</v>
      </c>
      <c r="V67" s="142" t="s">
        <v>1850</v>
      </c>
      <c r="W67" s="142">
        <v>2552</v>
      </c>
      <c r="X67" s="143">
        <v>103325.67</v>
      </c>
      <c r="Y67" s="143">
        <v>94550.63</v>
      </c>
      <c r="Z67" s="69" t="s">
        <v>3741</v>
      </c>
      <c r="AA67" s="82"/>
      <c r="AB67" s="82"/>
      <c r="AC67" s="82"/>
      <c r="AD67" s="82"/>
      <c r="AE67" s="82"/>
      <c r="AF67" s="82"/>
      <c r="AG67" s="95"/>
      <c r="AH67" s="95"/>
      <c r="AI67" s="69"/>
      <c r="AJ67" s="35"/>
      <c r="AK67" s="66"/>
      <c r="AL67" s="66"/>
      <c r="AM67" s="145">
        <f t="shared" si="0"/>
        <v>0</v>
      </c>
      <c r="AN67" s="146">
        <f t="shared" si="1"/>
        <v>0</v>
      </c>
      <c r="AO67" s="69"/>
    </row>
    <row r="68" spans="1:41" s="8" customFormat="1" ht="12.75" customHeight="1">
      <c r="A68" s="35">
        <v>60</v>
      </c>
      <c r="B68" s="35" t="s">
        <v>2</v>
      </c>
      <c r="C68" s="35" t="s">
        <v>2</v>
      </c>
      <c r="D68" s="35">
        <v>3</v>
      </c>
      <c r="E68" s="35" t="s">
        <v>592</v>
      </c>
      <c r="F68" s="142" t="s">
        <v>595</v>
      </c>
      <c r="G68" s="69" t="s">
        <v>2490</v>
      </c>
      <c r="H68" s="35" t="s">
        <v>4166</v>
      </c>
      <c r="I68" s="35" t="s">
        <v>4127</v>
      </c>
      <c r="J68" s="139">
        <v>29104391</v>
      </c>
      <c r="K68" s="35" t="s">
        <v>2438</v>
      </c>
      <c r="L68" s="35">
        <v>3447000</v>
      </c>
      <c r="M68" s="35" t="s">
        <v>3735</v>
      </c>
      <c r="N68" s="35" t="s">
        <v>4181</v>
      </c>
      <c r="O68" s="35">
        <v>3428</v>
      </c>
      <c r="P68" s="140">
        <v>43073</v>
      </c>
      <c r="Q68" s="140">
        <v>46724</v>
      </c>
      <c r="R68" s="62" t="s">
        <v>2440</v>
      </c>
      <c r="S68" s="142" t="s">
        <v>2442</v>
      </c>
      <c r="T68" s="35" t="s">
        <v>2443</v>
      </c>
      <c r="U68" s="142" t="s">
        <v>2975</v>
      </c>
      <c r="V68" s="142" t="s">
        <v>1852</v>
      </c>
      <c r="W68" s="142">
        <v>2555</v>
      </c>
      <c r="X68" s="143">
        <v>103415.71</v>
      </c>
      <c r="Y68" s="143">
        <v>94562.96</v>
      </c>
      <c r="Z68" s="69" t="s">
        <v>3741</v>
      </c>
      <c r="AA68" s="82"/>
      <c r="AB68" s="82"/>
      <c r="AC68" s="82"/>
      <c r="AD68" s="82"/>
      <c r="AE68" s="82"/>
      <c r="AF68" s="82"/>
      <c r="AG68" s="95"/>
      <c r="AH68" s="95"/>
      <c r="AI68" s="69"/>
      <c r="AJ68" s="35"/>
      <c r="AK68" s="66"/>
      <c r="AL68" s="66"/>
      <c r="AM68" s="145">
        <f t="shared" si="0"/>
        <v>0</v>
      </c>
      <c r="AN68" s="146">
        <f t="shared" si="1"/>
        <v>0</v>
      </c>
      <c r="AO68" s="69"/>
    </row>
    <row r="69" spans="1:41" s="8" customFormat="1" ht="12.75" customHeight="1">
      <c r="A69" s="35">
        <v>61</v>
      </c>
      <c r="B69" s="35" t="s">
        <v>2</v>
      </c>
      <c r="C69" s="35" t="s">
        <v>2</v>
      </c>
      <c r="D69" s="35">
        <v>3</v>
      </c>
      <c r="E69" s="35" t="s">
        <v>593</v>
      </c>
      <c r="F69" s="142" t="s">
        <v>596</v>
      </c>
      <c r="G69" s="69" t="s">
        <v>2490</v>
      </c>
      <c r="H69" s="35" t="s">
        <v>4166</v>
      </c>
      <c r="I69" s="35" t="s">
        <v>4127</v>
      </c>
      <c r="J69" s="139">
        <v>29104391</v>
      </c>
      <c r="K69" s="35" t="s">
        <v>2438</v>
      </c>
      <c r="L69" s="35">
        <v>3447000</v>
      </c>
      <c r="M69" s="35" t="s">
        <v>3735</v>
      </c>
      <c r="N69" s="35" t="s">
        <v>4181</v>
      </c>
      <c r="O69" s="35">
        <v>3428</v>
      </c>
      <c r="P69" s="140">
        <v>43073</v>
      </c>
      <c r="Q69" s="140">
        <v>46724</v>
      </c>
      <c r="R69" s="62" t="s">
        <v>2440</v>
      </c>
      <c r="S69" s="142" t="s">
        <v>2442</v>
      </c>
      <c r="T69" s="35" t="s">
        <v>2443</v>
      </c>
      <c r="U69" s="142" t="s">
        <v>2976</v>
      </c>
      <c r="V69" s="142" t="s">
        <v>1851</v>
      </c>
      <c r="W69" s="142">
        <v>2556</v>
      </c>
      <c r="X69" s="143">
        <v>103484.23</v>
      </c>
      <c r="Y69" s="143">
        <v>94569.74</v>
      </c>
      <c r="Z69" s="69" t="s">
        <v>3741</v>
      </c>
      <c r="AA69" s="82"/>
      <c r="AB69" s="82"/>
      <c r="AC69" s="82"/>
      <c r="AD69" s="82"/>
      <c r="AE69" s="82"/>
      <c r="AF69" s="82"/>
      <c r="AG69" s="95"/>
      <c r="AH69" s="95"/>
      <c r="AI69" s="69"/>
      <c r="AJ69" s="35"/>
      <c r="AK69" s="66"/>
      <c r="AL69" s="66"/>
      <c r="AM69" s="145">
        <f t="shared" si="0"/>
        <v>0</v>
      </c>
      <c r="AN69" s="146">
        <f t="shared" si="1"/>
        <v>0</v>
      </c>
      <c r="AO69" s="69"/>
    </row>
    <row r="70" spans="1:41" ht="51">
      <c r="A70" s="35">
        <v>62</v>
      </c>
      <c r="B70" s="35" t="s">
        <v>2</v>
      </c>
      <c r="C70" s="35" t="s">
        <v>2</v>
      </c>
      <c r="D70" s="35">
        <v>3</v>
      </c>
      <c r="E70" s="35" t="s">
        <v>597</v>
      </c>
      <c r="F70" s="35" t="s">
        <v>598</v>
      </c>
      <c r="G70" s="69" t="s">
        <v>2490</v>
      </c>
      <c r="H70" s="35" t="s">
        <v>4166</v>
      </c>
      <c r="I70" s="35" t="s">
        <v>4127</v>
      </c>
      <c r="J70" s="139">
        <v>29104391</v>
      </c>
      <c r="K70" s="35" t="s">
        <v>2438</v>
      </c>
      <c r="L70" s="35">
        <v>3447000</v>
      </c>
      <c r="M70" s="35" t="s">
        <v>3735</v>
      </c>
      <c r="N70" s="35" t="s">
        <v>4181</v>
      </c>
      <c r="O70" s="35">
        <v>3428</v>
      </c>
      <c r="P70" s="140">
        <v>43073</v>
      </c>
      <c r="Q70" s="140">
        <v>46724</v>
      </c>
      <c r="R70" s="62" t="s">
        <v>2440</v>
      </c>
      <c r="S70" s="62" t="s">
        <v>2441</v>
      </c>
      <c r="T70" s="35" t="s">
        <v>2443</v>
      </c>
      <c r="U70" s="142" t="s">
        <v>2977</v>
      </c>
      <c r="V70" s="142" t="s">
        <v>2382</v>
      </c>
      <c r="W70" s="142">
        <v>2553</v>
      </c>
      <c r="X70" s="143">
        <v>103640.34</v>
      </c>
      <c r="Y70" s="143">
        <v>94616.3</v>
      </c>
      <c r="Z70" s="69" t="s">
        <v>3758</v>
      </c>
      <c r="AA70" s="67">
        <v>43488</v>
      </c>
      <c r="AB70" s="147">
        <v>0.4902777777777778</v>
      </c>
      <c r="AC70" s="82"/>
      <c r="AD70" s="82"/>
      <c r="AE70" s="82"/>
      <c r="AF70" s="82"/>
      <c r="AG70" s="95"/>
      <c r="AH70" s="95"/>
      <c r="AI70" s="69"/>
      <c r="AJ70" s="35"/>
      <c r="AK70" s="69"/>
      <c r="AL70" s="69"/>
      <c r="AM70" s="117">
        <v>0</v>
      </c>
      <c r="AN70" s="118">
        <v>0</v>
      </c>
      <c r="AO70" s="82" t="s">
        <v>2495</v>
      </c>
    </row>
    <row r="71" spans="1:41" ht="45" customHeight="1">
      <c r="A71" s="35">
        <v>63</v>
      </c>
      <c r="B71" s="35" t="s">
        <v>2</v>
      </c>
      <c r="C71" s="35" t="s">
        <v>2</v>
      </c>
      <c r="D71" s="35">
        <v>3</v>
      </c>
      <c r="E71" s="35" t="s">
        <v>599</v>
      </c>
      <c r="F71" s="142" t="s">
        <v>2080</v>
      </c>
      <c r="G71" s="69" t="s">
        <v>2490</v>
      </c>
      <c r="H71" s="35" t="s">
        <v>4166</v>
      </c>
      <c r="I71" s="35" t="s">
        <v>4127</v>
      </c>
      <c r="J71" s="139">
        <v>29104391</v>
      </c>
      <c r="K71" s="35" t="s">
        <v>2438</v>
      </c>
      <c r="L71" s="35">
        <v>3447000</v>
      </c>
      <c r="M71" s="35" t="s">
        <v>3735</v>
      </c>
      <c r="N71" s="35" t="s">
        <v>4181</v>
      </c>
      <c r="O71" s="35">
        <v>3428</v>
      </c>
      <c r="P71" s="140">
        <v>43073</v>
      </c>
      <c r="Q71" s="140">
        <v>46724</v>
      </c>
      <c r="R71" s="62" t="s">
        <v>2440</v>
      </c>
      <c r="S71" s="142" t="s">
        <v>2442</v>
      </c>
      <c r="T71" s="35" t="s">
        <v>2443</v>
      </c>
      <c r="U71" s="142" t="s">
        <v>2978</v>
      </c>
      <c r="V71" s="142" t="s">
        <v>1853</v>
      </c>
      <c r="W71" s="142">
        <v>2553</v>
      </c>
      <c r="X71" s="143">
        <v>103668.92</v>
      </c>
      <c r="Y71" s="143">
        <v>94588.24</v>
      </c>
      <c r="Z71" s="69" t="s">
        <v>3741</v>
      </c>
      <c r="AA71" s="82"/>
      <c r="AB71" s="82"/>
      <c r="AC71" s="159"/>
      <c r="AD71" s="159"/>
      <c r="AE71" s="159"/>
      <c r="AF71" s="159"/>
      <c r="AG71" s="95"/>
      <c r="AH71" s="95"/>
      <c r="AI71" s="69"/>
      <c r="AJ71" s="35"/>
      <c r="AK71" s="66"/>
      <c r="AL71" s="66"/>
      <c r="AM71" s="145">
        <f t="shared" si="0"/>
        <v>0</v>
      </c>
      <c r="AN71" s="146">
        <f t="shared" si="1"/>
        <v>0</v>
      </c>
      <c r="AO71" s="82"/>
    </row>
    <row r="72" spans="1:41" ht="36" customHeight="1">
      <c r="A72" s="35">
        <v>64</v>
      </c>
      <c r="B72" s="35" t="s">
        <v>2</v>
      </c>
      <c r="C72" s="35" t="s">
        <v>2</v>
      </c>
      <c r="D72" s="35">
        <v>3</v>
      </c>
      <c r="E72" s="35" t="s">
        <v>600</v>
      </c>
      <c r="F72" s="138" t="s">
        <v>2081</v>
      </c>
      <c r="G72" s="69" t="s">
        <v>2490</v>
      </c>
      <c r="H72" s="35" t="s">
        <v>4166</v>
      </c>
      <c r="I72" s="35" t="s">
        <v>4127</v>
      </c>
      <c r="J72" s="139">
        <v>29104391</v>
      </c>
      <c r="K72" s="35" t="s">
        <v>2438</v>
      </c>
      <c r="L72" s="35">
        <v>3447000</v>
      </c>
      <c r="M72" s="35" t="s">
        <v>3735</v>
      </c>
      <c r="N72" s="35" t="s">
        <v>4181</v>
      </c>
      <c r="O72" s="35">
        <v>3428</v>
      </c>
      <c r="P72" s="140">
        <v>43073</v>
      </c>
      <c r="Q72" s="140">
        <v>46724</v>
      </c>
      <c r="R72" s="62" t="s">
        <v>2440</v>
      </c>
      <c r="S72" s="62" t="s">
        <v>2441</v>
      </c>
      <c r="T72" s="35" t="s">
        <v>2443</v>
      </c>
      <c r="U72" s="142" t="s">
        <v>2979</v>
      </c>
      <c r="V72" s="142" t="s">
        <v>2383</v>
      </c>
      <c r="W72" s="142">
        <v>2553</v>
      </c>
      <c r="X72" s="143">
        <v>103729.76</v>
      </c>
      <c r="Y72" s="143">
        <v>94625.54</v>
      </c>
      <c r="Z72" s="2" t="s">
        <v>4046</v>
      </c>
      <c r="AA72" s="82"/>
      <c r="AB72" s="82"/>
      <c r="AC72" s="159"/>
      <c r="AD72" s="159"/>
      <c r="AE72" s="159"/>
      <c r="AF72" s="159"/>
      <c r="AG72" s="166"/>
      <c r="AH72" s="95"/>
      <c r="AI72" s="69"/>
      <c r="AJ72" s="35"/>
      <c r="AK72" s="66"/>
      <c r="AL72" s="66"/>
      <c r="AM72" s="117">
        <f>AVERAGE(AM73:AM74)</f>
        <v>9545.661395711999</v>
      </c>
      <c r="AN72" s="117">
        <f>AVERAGE(AN73:AN74)</f>
        <v>22694.209344</v>
      </c>
      <c r="AO72" s="82" t="s">
        <v>2495</v>
      </c>
    </row>
    <row r="73" spans="1:41" ht="42.75" customHeight="1">
      <c r="A73" s="184"/>
      <c r="B73" s="184"/>
      <c r="C73" s="184"/>
      <c r="D73" s="184"/>
      <c r="E73" s="184"/>
      <c r="F73" s="193"/>
      <c r="G73" s="178"/>
      <c r="H73" s="184"/>
      <c r="I73" s="184"/>
      <c r="J73" s="187"/>
      <c r="K73" s="184"/>
      <c r="L73" s="184"/>
      <c r="M73" s="184"/>
      <c r="N73" s="184"/>
      <c r="O73" s="184"/>
      <c r="P73" s="188"/>
      <c r="Q73" s="188"/>
      <c r="R73" s="185"/>
      <c r="S73" s="185"/>
      <c r="T73" s="184"/>
      <c r="U73" s="186"/>
      <c r="V73" s="186"/>
      <c r="W73" s="186"/>
      <c r="X73" s="189"/>
      <c r="Y73" s="189"/>
      <c r="Z73" s="69" t="s">
        <v>3744</v>
      </c>
      <c r="AA73" s="67">
        <v>43488</v>
      </c>
      <c r="AB73" s="69" t="s">
        <v>3930</v>
      </c>
      <c r="AC73" s="62">
        <v>79</v>
      </c>
      <c r="AD73" s="76">
        <v>19</v>
      </c>
      <c r="AE73" s="76">
        <v>3.628</v>
      </c>
      <c r="AF73" s="76">
        <v>24</v>
      </c>
      <c r="AG73" s="166">
        <f>AE73*AC73*AF73*0.0036</f>
        <v>24.7632768</v>
      </c>
      <c r="AH73" s="95">
        <f>AE73*AD73*AF73*0.0036</f>
        <v>5.9557248</v>
      </c>
      <c r="AI73" s="69">
        <v>30</v>
      </c>
      <c r="AJ73" s="35">
        <v>12</v>
      </c>
      <c r="AK73" s="69">
        <v>0.66</v>
      </c>
      <c r="AL73" s="69">
        <v>0.5</v>
      </c>
      <c r="AM73" s="127">
        <f t="shared" si="0"/>
        <v>5883.75456768</v>
      </c>
      <c r="AN73" s="128">
        <f t="shared" si="1"/>
        <v>1072.030464</v>
      </c>
      <c r="AO73" s="82"/>
    </row>
    <row r="74" spans="1:41" ht="25.5">
      <c r="A74" s="184"/>
      <c r="B74" s="184"/>
      <c r="C74" s="184"/>
      <c r="D74" s="184"/>
      <c r="E74" s="184"/>
      <c r="F74" s="193"/>
      <c r="G74" s="178"/>
      <c r="H74" s="184"/>
      <c r="I74" s="184"/>
      <c r="J74" s="187"/>
      <c r="K74" s="184"/>
      <c r="L74" s="184"/>
      <c r="M74" s="184"/>
      <c r="N74" s="184"/>
      <c r="O74" s="184"/>
      <c r="P74" s="188"/>
      <c r="Q74" s="188"/>
      <c r="R74" s="185"/>
      <c r="S74" s="185"/>
      <c r="T74" s="184"/>
      <c r="U74" s="186"/>
      <c r="V74" s="186"/>
      <c r="W74" s="186"/>
      <c r="X74" s="189"/>
      <c r="Y74" s="189"/>
      <c r="Z74" s="69" t="s">
        <v>4069</v>
      </c>
      <c r="AA74" s="167">
        <v>43669</v>
      </c>
      <c r="AB74" s="62" t="s">
        <v>3931</v>
      </c>
      <c r="AC74" s="168">
        <v>9.7</v>
      </c>
      <c r="AD74" s="168">
        <v>30</v>
      </c>
      <c r="AE74" s="168">
        <f>(42.57+42.57+27.6+42.57+51.18)/5</f>
        <v>41.298</v>
      </c>
      <c r="AF74" s="76">
        <v>24</v>
      </c>
      <c r="AG74" s="166">
        <f>AE74*AC74*AF74*0.0036</f>
        <v>34.61102784</v>
      </c>
      <c r="AH74" s="95">
        <f>AE74*AD74*AF74*0.0036</f>
        <v>107.044416</v>
      </c>
      <c r="AI74" s="69">
        <v>30</v>
      </c>
      <c r="AJ74" s="35">
        <v>12</v>
      </c>
      <c r="AK74" s="69">
        <v>1.06</v>
      </c>
      <c r="AL74" s="69">
        <v>1.15</v>
      </c>
      <c r="AM74" s="127">
        <f>AG74*AI74*AJ74*AK74</f>
        <v>13207.568223744</v>
      </c>
      <c r="AN74" s="128">
        <f>AH74*AI74*AJ74*AL74</f>
        <v>44316.388223999995</v>
      </c>
      <c r="AO74" s="82"/>
    </row>
    <row r="75" spans="1:41" ht="51">
      <c r="A75" s="35">
        <v>65</v>
      </c>
      <c r="B75" s="35" t="s">
        <v>2</v>
      </c>
      <c r="C75" s="35" t="s">
        <v>2</v>
      </c>
      <c r="D75" s="35">
        <v>3</v>
      </c>
      <c r="E75" s="35" t="s">
        <v>629</v>
      </c>
      <c r="F75" s="138" t="s">
        <v>2082</v>
      </c>
      <c r="G75" s="69" t="s">
        <v>2490</v>
      </c>
      <c r="H75" s="35" t="s">
        <v>4166</v>
      </c>
      <c r="I75" s="35" t="s">
        <v>4127</v>
      </c>
      <c r="J75" s="139">
        <v>29104391</v>
      </c>
      <c r="K75" s="35" t="s">
        <v>2438</v>
      </c>
      <c r="L75" s="35">
        <v>3447000</v>
      </c>
      <c r="M75" s="35" t="s">
        <v>3735</v>
      </c>
      <c r="N75" s="35" t="s">
        <v>4181</v>
      </c>
      <c r="O75" s="35">
        <v>3428</v>
      </c>
      <c r="P75" s="140">
        <v>43073</v>
      </c>
      <c r="Q75" s="140">
        <v>46724</v>
      </c>
      <c r="R75" s="62" t="s">
        <v>2440</v>
      </c>
      <c r="S75" s="142" t="s">
        <v>2442</v>
      </c>
      <c r="T75" s="35" t="s">
        <v>2443</v>
      </c>
      <c r="U75" s="169" t="s">
        <v>2980</v>
      </c>
      <c r="V75" s="169" t="s">
        <v>630</v>
      </c>
      <c r="W75" s="142">
        <v>2553</v>
      </c>
      <c r="X75" s="143">
        <v>103701.8</v>
      </c>
      <c r="Y75" s="143">
        <v>94588.54</v>
      </c>
      <c r="Z75" s="69" t="s">
        <v>3758</v>
      </c>
      <c r="AA75" s="104">
        <v>43489</v>
      </c>
      <c r="AB75" s="147">
        <v>0.4979166666666666</v>
      </c>
      <c r="AC75" s="69"/>
      <c r="AD75" s="93"/>
      <c r="AE75" s="93"/>
      <c r="AF75" s="93"/>
      <c r="AG75" s="93"/>
      <c r="AH75" s="93"/>
      <c r="AI75" s="93"/>
      <c r="AJ75" s="93"/>
      <c r="AK75" s="93"/>
      <c r="AL75" s="93"/>
      <c r="AM75" s="117">
        <f t="shared" si="0"/>
        <v>0</v>
      </c>
      <c r="AN75" s="118">
        <f t="shared" si="1"/>
        <v>0</v>
      </c>
      <c r="AO75" s="82" t="s">
        <v>2478</v>
      </c>
    </row>
    <row r="76" spans="1:41" ht="42.75" customHeight="1">
      <c r="A76" s="35">
        <v>66</v>
      </c>
      <c r="B76" s="35" t="s">
        <v>2</v>
      </c>
      <c r="C76" s="35" t="s">
        <v>2</v>
      </c>
      <c r="D76" s="35">
        <v>3</v>
      </c>
      <c r="E76" s="35" t="s">
        <v>601</v>
      </c>
      <c r="F76" s="142" t="s">
        <v>2083</v>
      </c>
      <c r="G76" s="69" t="s">
        <v>2490</v>
      </c>
      <c r="H76" s="35" t="s">
        <v>4166</v>
      </c>
      <c r="I76" s="35" t="s">
        <v>4127</v>
      </c>
      <c r="J76" s="139">
        <v>29104391</v>
      </c>
      <c r="K76" s="35" t="s">
        <v>2438</v>
      </c>
      <c r="L76" s="35">
        <v>3447000</v>
      </c>
      <c r="M76" s="35" t="s">
        <v>3735</v>
      </c>
      <c r="N76" s="35" t="s">
        <v>4181</v>
      </c>
      <c r="O76" s="35">
        <v>3428</v>
      </c>
      <c r="P76" s="140">
        <v>43073</v>
      </c>
      <c r="Q76" s="140">
        <v>46724</v>
      </c>
      <c r="R76" s="62" t="s">
        <v>2440</v>
      </c>
      <c r="S76" s="142" t="s">
        <v>2442</v>
      </c>
      <c r="T76" s="35" t="s">
        <v>2443</v>
      </c>
      <c r="U76" s="142" t="s">
        <v>2981</v>
      </c>
      <c r="V76" s="142" t="s">
        <v>1854</v>
      </c>
      <c r="W76" s="142">
        <v>2556</v>
      </c>
      <c r="X76" s="143">
        <v>103932.88</v>
      </c>
      <c r="Y76" s="143">
        <v>94630.16</v>
      </c>
      <c r="Z76" s="69" t="s">
        <v>3744</v>
      </c>
      <c r="AA76" s="67">
        <v>43490</v>
      </c>
      <c r="AB76" s="69" t="s">
        <v>3737</v>
      </c>
      <c r="AC76" s="82">
        <v>149</v>
      </c>
      <c r="AD76" s="82">
        <v>100</v>
      </c>
      <c r="AE76" s="82">
        <f>((0.25+0.263+0.275+0.204+0.258)/5)</f>
        <v>0.25</v>
      </c>
      <c r="AF76" s="82">
        <v>24</v>
      </c>
      <c r="AG76" s="95">
        <f>AE76*AC76*AF76*0.0036</f>
        <v>3.2184</v>
      </c>
      <c r="AH76" s="95">
        <f>AE76*AD76*AF76*0.0036</f>
        <v>2.16</v>
      </c>
      <c r="AI76" s="69">
        <v>30</v>
      </c>
      <c r="AJ76" s="35">
        <v>12</v>
      </c>
      <c r="AK76" s="82">
        <v>0.61</v>
      </c>
      <c r="AL76" s="82">
        <v>0.74</v>
      </c>
      <c r="AM76" s="117">
        <f>AG76*AI76*AJ76*AK76</f>
        <v>706.7606399999999</v>
      </c>
      <c r="AN76" s="118">
        <f>AH76*AI76*AJ76*AL76</f>
        <v>575.4240000000001</v>
      </c>
      <c r="AO76" s="82" t="s">
        <v>2457</v>
      </c>
    </row>
    <row r="77" spans="1:41" ht="63.75" customHeight="1">
      <c r="A77" s="35">
        <v>67</v>
      </c>
      <c r="B77" s="35" t="s">
        <v>2</v>
      </c>
      <c r="C77" s="35" t="s">
        <v>2</v>
      </c>
      <c r="D77" s="35">
        <v>3</v>
      </c>
      <c r="E77" s="35" t="s">
        <v>602</v>
      </c>
      <c r="F77" s="142" t="s">
        <v>2083</v>
      </c>
      <c r="G77" s="69" t="s">
        <v>2490</v>
      </c>
      <c r="H77" s="35" t="s">
        <v>4166</v>
      </c>
      <c r="I77" s="35" t="s">
        <v>4127</v>
      </c>
      <c r="J77" s="139">
        <v>29104391</v>
      </c>
      <c r="K77" s="35" t="s">
        <v>2438</v>
      </c>
      <c r="L77" s="35">
        <v>3447000</v>
      </c>
      <c r="M77" s="35" t="s">
        <v>3735</v>
      </c>
      <c r="N77" s="35" t="s">
        <v>4181</v>
      </c>
      <c r="O77" s="35">
        <v>3428</v>
      </c>
      <c r="P77" s="140">
        <v>43073</v>
      </c>
      <c r="Q77" s="140">
        <v>46724</v>
      </c>
      <c r="R77" s="62" t="s">
        <v>2440</v>
      </c>
      <c r="S77" s="62" t="s">
        <v>2441</v>
      </c>
      <c r="T77" s="35" t="s">
        <v>2443</v>
      </c>
      <c r="U77" s="142" t="s">
        <v>2982</v>
      </c>
      <c r="V77" s="142" t="s">
        <v>1855</v>
      </c>
      <c r="W77" s="142">
        <v>2556</v>
      </c>
      <c r="X77" s="143">
        <v>103955.01</v>
      </c>
      <c r="Y77" s="143">
        <v>94652.98</v>
      </c>
      <c r="Z77" s="69" t="s">
        <v>3758</v>
      </c>
      <c r="AA77" s="67">
        <v>43489</v>
      </c>
      <c r="AB77" s="147">
        <v>0.5</v>
      </c>
      <c r="AC77" s="69"/>
      <c r="AD77" s="93"/>
      <c r="AE77" s="93"/>
      <c r="AF77" s="93"/>
      <c r="AG77" s="93"/>
      <c r="AH77" s="93"/>
      <c r="AI77" s="93"/>
      <c r="AJ77" s="93"/>
      <c r="AK77" s="93"/>
      <c r="AL77" s="93"/>
      <c r="AM77" s="117">
        <f aca="true" t="shared" si="2" ref="AM77:AM84">AG77*AI77*AJ77*AK77</f>
        <v>0</v>
      </c>
      <c r="AN77" s="118">
        <f aca="true" t="shared" si="3" ref="AN77:AN84">AH77*AI77*AJ77*AL77</f>
        <v>0</v>
      </c>
      <c r="AO77" s="82" t="s">
        <v>2457</v>
      </c>
    </row>
    <row r="78" spans="1:41" ht="12.75" customHeight="1">
      <c r="A78" s="35">
        <v>68</v>
      </c>
      <c r="B78" s="35" t="s">
        <v>2</v>
      </c>
      <c r="C78" s="35" t="s">
        <v>2</v>
      </c>
      <c r="D78" s="35">
        <v>3</v>
      </c>
      <c r="E78" s="35" t="s">
        <v>603</v>
      </c>
      <c r="F78" s="142" t="s">
        <v>609</v>
      </c>
      <c r="G78" s="69" t="s">
        <v>2490</v>
      </c>
      <c r="H78" s="35" t="s">
        <v>4166</v>
      </c>
      <c r="I78" s="35" t="s">
        <v>4127</v>
      </c>
      <c r="J78" s="139">
        <v>29104391</v>
      </c>
      <c r="K78" s="35" t="s">
        <v>2438</v>
      </c>
      <c r="L78" s="35">
        <v>3447000</v>
      </c>
      <c r="M78" s="35" t="s">
        <v>3735</v>
      </c>
      <c r="N78" s="35" t="s">
        <v>4181</v>
      </c>
      <c r="O78" s="35">
        <v>3428</v>
      </c>
      <c r="P78" s="140">
        <v>43073</v>
      </c>
      <c r="Q78" s="140">
        <v>46724</v>
      </c>
      <c r="R78" s="62" t="s">
        <v>2440</v>
      </c>
      <c r="S78" s="62" t="s">
        <v>2441</v>
      </c>
      <c r="T78" s="35" t="s">
        <v>2443</v>
      </c>
      <c r="U78" s="142" t="s">
        <v>2983</v>
      </c>
      <c r="V78" s="142" t="s">
        <v>1856</v>
      </c>
      <c r="W78" s="142">
        <v>2555</v>
      </c>
      <c r="X78" s="143">
        <v>104043.51</v>
      </c>
      <c r="Y78" s="143">
        <v>94677.95</v>
      </c>
      <c r="Z78" s="69" t="s">
        <v>3741</v>
      </c>
      <c r="AA78" s="82"/>
      <c r="AB78" s="82"/>
      <c r="AC78" s="82"/>
      <c r="AD78" s="82"/>
      <c r="AE78" s="82"/>
      <c r="AF78" s="82"/>
      <c r="AG78" s="95"/>
      <c r="AH78" s="95"/>
      <c r="AI78" s="69"/>
      <c r="AJ78" s="35"/>
      <c r="AK78" s="66"/>
      <c r="AL78" s="66"/>
      <c r="AM78" s="145">
        <f t="shared" si="2"/>
        <v>0</v>
      </c>
      <c r="AN78" s="146">
        <f t="shared" si="3"/>
        <v>0</v>
      </c>
      <c r="AO78" s="69"/>
    </row>
    <row r="79" spans="1:41" ht="12.75">
      <c r="A79" s="35">
        <v>69</v>
      </c>
      <c r="B79" s="35" t="s">
        <v>2</v>
      </c>
      <c r="C79" s="35" t="s">
        <v>2</v>
      </c>
      <c r="D79" s="35">
        <v>3</v>
      </c>
      <c r="E79" s="35" t="s">
        <v>604</v>
      </c>
      <c r="F79" s="142" t="s">
        <v>610</v>
      </c>
      <c r="G79" s="69" t="s">
        <v>2490</v>
      </c>
      <c r="H79" s="35" t="s">
        <v>4166</v>
      </c>
      <c r="I79" s="35" t="s">
        <v>4127</v>
      </c>
      <c r="J79" s="139">
        <v>29104391</v>
      </c>
      <c r="K79" s="35" t="s">
        <v>2438</v>
      </c>
      <c r="L79" s="35">
        <v>3447000</v>
      </c>
      <c r="M79" s="35" t="s">
        <v>3735</v>
      </c>
      <c r="N79" s="35" t="s">
        <v>4181</v>
      </c>
      <c r="O79" s="35">
        <v>3428</v>
      </c>
      <c r="P79" s="140">
        <v>43073</v>
      </c>
      <c r="Q79" s="140">
        <v>46724</v>
      </c>
      <c r="R79" s="62" t="s">
        <v>2440</v>
      </c>
      <c r="S79" s="62" t="s">
        <v>2441</v>
      </c>
      <c r="T79" s="142" t="s">
        <v>2445</v>
      </c>
      <c r="U79" s="142" t="s">
        <v>2984</v>
      </c>
      <c r="V79" s="142" t="s">
        <v>1857</v>
      </c>
      <c r="W79" s="142">
        <v>2552</v>
      </c>
      <c r="X79" s="143">
        <v>104136.93</v>
      </c>
      <c r="Y79" s="143">
        <v>94715.88</v>
      </c>
      <c r="Z79" s="69" t="s">
        <v>3741</v>
      </c>
      <c r="AA79" s="82"/>
      <c r="AB79" s="82"/>
      <c r="AC79" s="82"/>
      <c r="AD79" s="82"/>
      <c r="AE79" s="82"/>
      <c r="AF79" s="82"/>
      <c r="AG79" s="95"/>
      <c r="AH79" s="95"/>
      <c r="AI79" s="69"/>
      <c r="AJ79" s="35"/>
      <c r="AK79" s="66"/>
      <c r="AL79" s="66"/>
      <c r="AM79" s="145">
        <f t="shared" si="2"/>
        <v>0</v>
      </c>
      <c r="AN79" s="146">
        <f t="shared" si="3"/>
        <v>0</v>
      </c>
      <c r="AO79" s="69"/>
    </row>
    <row r="80" spans="1:41" ht="12.75" customHeight="1">
      <c r="A80" s="35">
        <v>70</v>
      </c>
      <c r="B80" s="35" t="s">
        <v>2</v>
      </c>
      <c r="C80" s="35" t="s">
        <v>2</v>
      </c>
      <c r="D80" s="35">
        <v>3</v>
      </c>
      <c r="E80" s="35" t="s">
        <v>605</v>
      </c>
      <c r="F80" s="142" t="s">
        <v>611</v>
      </c>
      <c r="G80" s="69" t="s">
        <v>2490</v>
      </c>
      <c r="H80" s="35" t="s">
        <v>4166</v>
      </c>
      <c r="I80" s="35" t="s">
        <v>4127</v>
      </c>
      <c r="J80" s="139">
        <v>29104391</v>
      </c>
      <c r="K80" s="35" t="s">
        <v>2438</v>
      </c>
      <c r="L80" s="35">
        <v>3447000</v>
      </c>
      <c r="M80" s="35" t="s">
        <v>3735</v>
      </c>
      <c r="N80" s="35" t="s">
        <v>4181</v>
      </c>
      <c r="O80" s="35">
        <v>3428</v>
      </c>
      <c r="P80" s="140">
        <v>43073</v>
      </c>
      <c r="Q80" s="140">
        <v>46724</v>
      </c>
      <c r="R80" s="62" t="s">
        <v>2440</v>
      </c>
      <c r="S80" s="142" t="s">
        <v>2442</v>
      </c>
      <c r="T80" s="142" t="s">
        <v>2445</v>
      </c>
      <c r="U80" s="142" t="s">
        <v>2985</v>
      </c>
      <c r="V80" s="142" t="s">
        <v>1858</v>
      </c>
      <c r="W80" s="142">
        <v>2551</v>
      </c>
      <c r="X80" s="143">
        <v>104144.92</v>
      </c>
      <c r="Y80" s="143">
        <v>94679.8</v>
      </c>
      <c r="Z80" s="69" t="s">
        <v>3741</v>
      </c>
      <c r="AA80" s="82"/>
      <c r="AB80" s="82"/>
      <c r="AC80" s="82"/>
      <c r="AD80" s="82"/>
      <c r="AE80" s="82"/>
      <c r="AF80" s="82"/>
      <c r="AG80" s="95"/>
      <c r="AH80" s="95"/>
      <c r="AI80" s="69"/>
      <c r="AJ80" s="35"/>
      <c r="AK80" s="66"/>
      <c r="AL80" s="66"/>
      <c r="AM80" s="145">
        <f t="shared" si="2"/>
        <v>0</v>
      </c>
      <c r="AN80" s="146">
        <f t="shared" si="3"/>
        <v>0</v>
      </c>
      <c r="AO80" s="69"/>
    </row>
    <row r="81" spans="1:41" ht="39.75" customHeight="1">
      <c r="A81" s="35">
        <v>71</v>
      </c>
      <c r="B81" s="35" t="s">
        <v>2</v>
      </c>
      <c r="C81" s="35" t="s">
        <v>2</v>
      </c>
      <c r="D81" s="35">
        <v>3</v>
      </c>
      <c r="E81" s="35" t="s">
        <v>606</v>
      </c>
      <c r="F81" s="142" t="s">
        <v>612</v>
      </c>
      <c r="G81" s="69" t="s">
        <v>2490</v>
      </c>
      <c r="H81" s="35" t="s">
        <v>4166</v>
      </c>
      <c r="I81" s="35" t="s">
        <v>4127</v>
      </c>
      <c r="J81" s="139">
        <v>29104391</v>
      </c>
      <c r="K81" s="35" t="s">
        <v>2438</v>
      </c>
      <c r="L81" s="35">
        <v>3447000</v>
      </c>
      <c r="M81" s="35" t="s">
        <v>3735</v>
      </c>
      <c r="N81" s="35" t="s">
        <v>4181</v>
      </c>
      <c r="O81" s="35">
        <v>3428</v>
      </c>
      <c r="P81" s="140">
        <v>43073</v>
      </c>
      <c r="Q81" s="140">
        <v>46724</v>
      </c>
      <c r="R81" s="62" t="s">
        <v>2440</v>
      </c>
      <c r="S81" s="142" t="s">
        <v>2442</v>
      </c>
      <c r="T81" s="35" t="s">
        <v>2443</v>
      </c>
      <c r="U81" s="142" t="s">
        <v>2986</v>
      </c>
      <c r="V81" s="142" t="s">
        <v>1859</v>
      </c>
      <c r="W81" s="142">
        <v>2550</v>
      </c>
      <c r="X81" s="143">
        <v>104180.26</v>
      </c>
      <c r="Y81" s="143">
        <v>94693.67</v>
      </c>
      <c r="Z81" s="69" t="s">
        <v>3744</v>
      </c>
      <c r="AA81" s="67">
        <v>43490</v>
      </c>
      <c r="AB81" s="69" t="s">
        <v>2526</v>
      </c>
      <c r="AC81" s="82">
        <v>246</v>
      </c>
      <c r="AD81" s="82">
        <v>100</v>
      </c>
      <c r="AE81" s="82">
        <f>((0.579+0.671+0.461+0.545+0.362)/5)</f>
        <v>0.5236000000000001</v>
      </c>
      <c r="AF81" s="82">
        <v>24</v>
      </c>
      <c r="AG81" s="95">
        <f>AE81*AC81*AF81*0.0036</f>
        <v>11.128803840000002</v>
      </c>
      <c r="AH81" s="95">
        <f>AE81*AD81*AF81*0.0036</f>
        <v>4.523904</v>
      </c>
      <c r="AI81" s="69">
        <v>30</v>
      </c>
      <c r="AJ81" s="35">
        <v>12</v>
      </c>
      <c r="AK81" s="69">
        <v>0.71</v>
      </c>
      <c r="AL81" s="69">
        <v>0.91</v>
      </c>
      <c r="AM81" s="117">
        <f t="shared" si="2"/>
        <v>2844.5222615040007</v>
      </c>
      <c r="AN81" s="118">
        <f t="shared" si="3"/>
        <v>1482.0309504</v>
      </c>
      <c r="AO81" s="82" t="s">
        <v>2457</v>
      </c>
    </row>
    <row r="82" spans="1:41" ht="12.75">
      <c r="A82" s="35">
        <v>72</v>
      </c>
      <c r="B82" s="35" t="s">
        <v>2</v>
      </c>
      <c r="C82" s="35" t="s">
        <v>2</v>
      </c>
      <c r="D82" s="35">
        <v>3</v>
      </c>
      <c r="E82" s="35" t="s">
        <v>607</v>
      </c>
      <c r="F82" s="142" t="s">
        <v>612</v>
      </c>
      <c r="G82" s="69" t="s">
        <v>2490</v>
      </c>
      <c r="H82" s="35" t="s">
        <v>4166</v>
      </c>
      <c r="I82" s="35" t="s">
        <v>4127</v>
      </c>
      <c r="J82" s="139">
        <v>29104391</v>
      </c>
      <c r="K82" s="35" t="s">
        <v>2438</v>
      </c>
      <c r="L82" s="35">
        <v>3447000</v>
      </c>
      <c r="M82" s="35" t="s">
        <v>3735</v>
      </c>
      <c r="N82" s="35" t="s">
        <v>4181</v>
      </c>
      <c r="O82" s="35">
        <v>3428</v>
      </c>
      <c r="P82" s="140">
        <v>43073</v>
      </c>
      <c r="Q82" s="140">
        <v>46724</v>
      </c>
      <c r="R82" s="62" t="s">
        <v>2440</v>
      </c>
      <c r="S82" s="142" t="s">
        <v>2442</v>
      </c>
      <c r="T82" s="35" t="s">
        <v>2443</v>
      </c>
      <c r="U82" s="142" t="s">
        <v>2987</v>
      </c>
      <c r="V82" s="142" t="s">
        <v>1860</v>
      </c>
      <c r="W82" s="142">
        <v>2550</v>
      </c>
      <c r="X82" s="143">
        <v>104182.41</v>
      </c>
      <c r="Y82" s="143">
        <v>94694.91</v>
      </c>
      <c r="Z82" s="69" t="s">
        <v>3741</v>
      </c>
      <c r="AA82" s="82"/>
      <c r="AB82" s="82"/>
      <c r="AC82" s="82"/>
      <c r="AD82" s="82"/>
      <c r="AE82" s="82"/>
      <c r="AF82" s="82"/>
      <c r="AG82" s="95"/>
      <c r="AH82" s="95"/>
      <c r="AI82" s="69"/>
      <c r="AJ82" s="35"/>
      <c r="AK82" s="66"/>
      <c r="AL82" s="66"/>
      <c r="AM82" s="145">
        <f t="shared" si="2"/>
        <v>0</v>
      </c>
      <c r="AN82" s="146">
        <f t="shared" si="3"/>
        <v>0</v>
      </c>
      <c r="AO82" s="69"/>
    </row>
    <row r="83" spans="1:41" ht="12.75">
      <c r="A83" s="35">
        <v>73</v>
      </c>
      <c r="B83" s="35" t="s">
        <v>2</v>
      </c>
      <c r="C83" s="35" t="s">
        <v>2</v>
      </c>
      <c r="D83" s="35">
        <v>3</v>
      </c>
      <c r="E83" s="35" t="s">
        <v>608</v>
      </c>
      <c r="F83" s="142" t="s">
        <v>613</v>
      </c>
      <c r="G83" s="69" t="s">
        <v>2490</v>
      </c>
      <c r="H83" s="35" t="s">
        <v>4166</v>
      </c>
      <c r="I83" s="35" t="s">
        <v>4127</v>
      </c>
      <c r="J83" s="139">
        <v>29104391</v>
      </c>
      <c r="K83" s="35" t="s">
        <v>2438</v>
      </c>
      <c r="L83" s="35">
        <v>3447000</v>
      </c>
      <c r="M83" s="35" t="s">
        <v>3735</v>
      </c>
      <c r="N83" s="35" t="s">
        <v>4181</v>
      </c>
      <c r="O83" s="35">
        <v>3428</v>
      </c>
      <c r="P83" s="140">
        <v>43073</v>
      </c>
      <c r="Q83" s="140">
        <v>46724</v>
      </c>
      <c r="R83" s="62" t="s">
        <v>2440</v>
      </c>
      <c r="S83" s="62" t="s">
        <v>2441</v>
      </c>
      <c r="T83" s="142" t="s">
        <v>2445</v>
      </c>
      <c r="U83" s="142" t="s">
        <v>2988</v>
      </c>
      <c r="V83" s="142" t="s">
        <v>1861</v>
      </c>
      <c r="W83" s="142">
        <v>2551</v>
      </c>
      <c r="X83" s="143">
        <v>104313.63</v>
      </c>
      <c r="Y83" s="143">
        <v>94777.85</v>
      </c>
      <c r="Z83" s="69" t="s">
        <v>3741</v>
      </c>
      <c r="AA83" s="82"/>
      <c r="AB83" s="82"/>
      <c r="AC83" s="82"/>
      <c r="AD83" s="82"/>
      <c r="AE83" s="82"/>
      <c r="AF83" s="82"/>
      <c r="AG83" s="95"/>
      <c r="AH83" s="95"/>
      <c r="AI83" s="69"/>
      <c r="AJ83" s="35"/>
      <c r="AK83" s="66"/>
      <c r="AL83" s="66"/>
      <c r="AM83" s="145">
        <f t="shared" si="2"/>
        <v>0</v>
      </c>
      <c r="AN83" s="146">
        <f t="shared" si="3"/>
        <v>0</v>
      </c>
      <c r="AO83" s="69"/>
    </row>
    <row r="84" spans="1:41" ht="78" customHeight="1">
      <c r="A84" s="35">
        <v>74</v>
      </c>
      <c r="B84" s="35" t="s">
        <v>2</v>
      </c>
      <c r="C84" s="35" t="s">
        <v>2</v>
      </c>
      <c r="D84" s="35">
        <v>3</v>
      </c>
      <c r="E84" s="35" t="s">
        <v>614</v>
      </c>
      <c r="F84" s="35" t="s">
        <v>615</v>
      </c>
      <c r="G84" s="69" t="s">
        <v>2490</v>
      </c>
      <c r="H84" s="35" t="s">
        <v>4166</v>
      </c>
      <c r="I84" s="35" t="s">
        <v>4127</v>
      </c>
      <c r="J84" s="139">
        <v>29104391</v>
      </c>
      <c r="K84" s="35" t="s">
        <v>2438</v>
      </c>
      <c r="L84" s="35">
        <v>3447000</v>
      </c>
      <c r="M84" s="35" t="s">
        <v>3735</v>
      </c>
      <c r="N84" s="35" t="s">
        <v>4181</v>
      </c>
      <c r="O84" s="35">
        <v>3428</v>
      </c>
      <c r="P84" s="140">
        <v>43073</v>
      </c>
      <c r="Q84" s="140">
        <v>46724</v>
      </c>
      <c r="R84" s="62" t="s">
        <v>2440</v>
      </c>
      <c r="S84" s="142" t="s">
        <v>2442</v>
      </c>
      <c r="T84" s="35" t="s">
        <v>2443</v>
      </c>
      <c r="U84" s="142" t="s">
        <v>2989</v>
      </c>
      <c r="V84" s="142" t="s">
        <v>2990</v>
      </c>
      <c r="W84" s="142">
        <v>2550</v>
      </c>
      <c r="X84" s="143">
        <v>104340.36</v>
      </c>
      <c r="Y84" s="143">
        <v>94757.8</v>
      </c>
      <c r="Z84" s="69" t="s">
        <v>3758</v>
      </c>
      <c r="AA84" s="104">
        <v>43490</v>
      </c>
      <c r="AB84" s="135">
        <v>0.5770833333333333</v>
      </c>
      <c r="AC84" s="82"/>
      <c r="AD84" s="82"/>
      <c r="AE84" s="95"/>
      <c r="AF84" s="82"/>
      <c r="AG84" s="95"/>
      <c r="AH84" s="95"/>
      <c r="AI84" s="69"/>
      <c r="AJ84" s="35"/>
      <c r="AK84" s="69"/>
      <c r="AL84" s="69"/>
      <c r="AM84" s="117">
        <f t="shared" si="2"/>
        <v>0</v>
      </c>
      <c r="AN84" s="118">
        <f t="shared" si="3"/>
        <v>0</v>
      </c>
      <c r="AO84" s="82" t="s">
        <v>2457</v>
      </c>
    </row>
    <row r="85" spans="1:41" ht="25.5">
      <c r="A85" s="35">
        <v>75</v>
      </c>
      <c r="B85" s="35" t="s">
        <v>2</v>
      </c>
      <c r="C85" s="35" t="s">
        <v>2</v>
      </c>
      <c r="D85" s="35">
        <v>3</v>
      </c>
      <c r="E85" s="35" t="s">
        <v>616</v>
      </c>
      <c r="F85" s="35" t="s">
        <v>617</v>
      </c>
      <c r="G85" s="69" t="s">
        <v>2490</v>
      </c>
      <c r="H85" s="35" t="s">
        <v>4166</v>
      </c>
      <c r="I85" s="35" t="s">
        <v>4127</v>
      </c>
      <c r="J85" s="139">
        <v>29104391</v>
      </c>
      <c r="K85" s="35" t="s">
        <v>2438</v>
      </c>
      <c r="L85" s="35">
        <v>3447000</v>
      </c>
      <c r="M85" s="35" t="s">
        <v>3735</v>
      </c>
      <c r="N85" s="35" t="s">
        <v>4181</v>
      </c>
      <c r="O85" s="35">
        <v>3428</v>
      </c>
      <c r="P85" s="140">
        <v>43073</v>
      </c>
      <c r="Q85" s="140">
        <v>46724</v>
      </c>
      <c r="R85" s="62" t="s">
        <v>2440</v>
      </c>
      <c r="S85" s="62" t="s">
        <v>2441</v>
      </c>
      <c r="T85" s="35" t="s">
        <v>2443</v>
      </c>
      <c r="U85" s="142" t="s">
        <v>2991</v>
      </c>
      <c r="V85" s="142" t="s">
        <v>1862</v>
      </c>
      <c r="W85" s="142">
        <v>2550</v>
      </c>
      <c r="X85" s="143">
        <v>104411.66</v>
      </c>
      <c r="Y85" s="143">
        <v>94799.74</v>
      </c>
      <c r="Z85" s="69" t="s">
        <v>3741</v>
      </c>
      <c r="AA85" s="67"/>
      <c r="AB85" s="69"/>
      <c r="AC85" s="82"/>
      <c r="AD85" s="82"/>
      <c r="AE85" s="82"/>
      <c r="AF85" s="82"/>
      <c r="AG85" s="95"/>
      <c r="AH85" s="95"/>
      <c r="AI85" s="69"/>
      <c r="AJ85" s="35"/>
      <c r="AK85" s="82"/>
      <c r="AL85" s="82"/>
      <c r="AM85" s="117">
        <v>0</v>
      </c>
      <c r="AN85" s="118">
        <v>0</v>
      </c>
      <c r="AO85" s="82" t="s">
        <v>2495</v>
      </c>
    </row>
    <row r="86" spans="1:41" ht="12.75" customHeight="1">
      <c r="A86" s="35">
        <v>76</v>
      </c>
      <c r="B86" s="35" t="s">
        <v>2</v>
      </c>
      <c r="C86" s="35" t="s">
        <v>2</v>
      </c>
      <c r="D86" s="35">
        <v>3</v>
      </c>
      <c r="E86" s="35" t="s">
        <v>618</v>
      </c>
      <c r="F86" s="142" t="s">
        <v>620</v>
      </c>
      <c r="G86" s="69" t="s">
        <v>2490</v>
      </c>
      <c r="H86" s="35" t="s">
        <v>4166</v>
      </c>
      <c r="I86" s="35" t="s">
        <v>4127</v>
      </c>
      <c r="J86" s="139">
        <v>29104391</v>
      </c>
      <c r="K86" s="35" t="s">
        <v>2438</v>
      </c>
      <c r="L86" s="35">
        <v>3447000</v>
      </c>
      <c r="M86" s="35" t="s">
        <v>3735</v>
      </c>
      <c r="N86" s="35" t="s">
        <v>4181</v>
      </c>
      <c r="O86" s="35">
        <v>3428</v>
      </c>
      <c r="P86" s="140">
        <v>43073</v>
      </c>
      <c r="Q86" s="140">
        <v>46724</v>
      </c>
      <c r="R86" s="62" t="s">
        <v>2440</v>
      </c>
      <c r="S86" s="62" t="s">
        <v>2441</v>
      </c>
      <c r="T86" s="142" t="s">
        <v>2445</v>
      </c>
      <c r="U86" s="142" t="s">
        <v>2992</v>
      </c>
      <c r="V86" s="142" t="s">
        <v>1863</v>
      </c>
      <c r="W86" s="142">
        <v>2549</v>
      </c>
      <c r="X86" s="143">
        <v>104491.86</v>
      </c>
      <c r="Y86" s="143">
        <v>94822.24</v>
      </c>
      <c r="Z86" s="69" t="s">
        <v>3741</v>
      </c>
      <c r="AA86" s="82"/>
      <c r="AB86" s="82"/>
      <c r="AC86" s="82"/>
      <c r="AD86" s="82"/>
      <c r="AE86" s="82"/>
      <c r="AF86" s="82"/>
      <c r="AG86" s="95"/>
      <c r="AH86" s="95"/>
      <c r="AI86" s="69"/>
      <c r="AJ86" s="35"/>
      <c r="AK86" s="66"/>
      <c r="AL86" s="66"/>
      <c r="AM86" s="145">
        <f>AG86*AI86*AJ86*AK86</f>
        <v>0</v>
      </c>
      <c r="AN86" s="146">
        <f>AH86*AI86*AJ86*AL86</f>
        <v>0</v>
      </c>
      <c r="AO86" s="69"/>
    </row>
    <row r="87" spans="1:41" ht="33" customHeight="1">
      <c r="A87" s="35">
        <v>77</v>
      </c>
      <c r="B87" s="35" t="s">
        <v>2</v>
      </c>
      <c r="C87" s="35" t="s">
        <v>2</v>
      </c>
      <c r="D87" s="35">
        <v>3</v>
      </c>
      <c r="E87" s="35" t="s">
        <v>619</v>
      </c>
      <c r="F87" s="142" t="s">
        <v>621</v>
      </c>
      <c r="G87" s="69" t="s">
        <v>2493</v>
      </c>
      <c r="H87" s="35" t="s">
        <v>4166</v>
      </c>
      <c r="I87" s="35" t="s">
        <v>4127</v>
      </c>
      <c r="J87" s="139">
        <v>29104391</v>
      </c>
      <c r="K87" s="35" t="s">
        <v>2438</v>
      </c>
      <c r="L87" s="35">
        <v>3447000</v>
      </c>
      <c r="M87" s="35" t="s">
        <v>3735</v>
      </c>
      <c r="N87" s="35" t="s">
        <v>4181</v>
      </c>
      <c r="O87" s="35">
        <v>3428</v>
      </c>
      <c r="P87" s="140">
        <v>43073</v>
      </c>
      <c r="Q87" s="140">
        <v>46724</v>
      </c>
      <c r="R87" s="62" t="s">
        <v>2440</v>
      </c>
      <c r="S87" s="62" t="s">
        <v>2441</v>
      </c>
      <c r="T87" s="35" t="s">
        <v>2443</v>
      </c>
      <c r="U87" s="142" t="s">
        <v>2993</v>
      </c>
      <c r="V87" s="142" t="s">
        <v>1864</v>
      </c>
      <c r="W87" s="142">
        <v>2549</v>
      </c>
      <c r="X87" s="143">
        <v>104946.35</v>
      </c>
      <c r="Y87" s="143">
        <v>94873.41</v>
      </c>
      <c r="Z87" s="69" t="s">
        <v>4046</v>
      </c>
      <c r="AA87" s="67"/>
      <c r="AB87" s="69"/>
      <c r="AC87" s="82"/>
      <c r="AD87" s="82"/>
      <c r="AE87" s="82"/>
      <c r="AF87" s="82"/>
      <c r="AG87" s="95"/>
      <c r="AH87" s="95"/>
      <c r="AI87" s="69"/>
      <c r="AJ87" s="35"/>
      <c r="AK87" s="82"/>
      <c r="AL87" s="82"/>
      <c r="AM87" s="117">
        <f>AVERAGE(AM88:AM89)</f>
        <v>236791.727136</v>
      </c>
      <c r="AN87" s="117">
        <f>AVERAGE(AN88:AN89)</f>
        <v>125192.08725695999</v>
      </c>
      <c r="AO87" s="82" t="s">
        <v>2495</v>
      </c>
    </row>
    <row r="88" spans="1:41" ht="37.5" customHeight="1">
      <c r="A88" s="35"/>
      <c r="B88" s="35"/>
      <c r="C88" s="35"/>
      <c r="D88" s="35"/>
      <c r="E88" s="35"/>
      <c r="F88" s="142"/>
      <c r="G88" s="69"/>
      <c r="H88" s="35"/>
      <c r="I88" s="35"/>
      <c r="J88" s="139"/>
      <c r="K88" s="35"/>
      <c r="L88" s="35"/>
      <c r="M88" s="35"/>
      <c r="N88" s="35"/>
      <c r="O88" s="35"/>
      <c r="P88" s="140"/>
      <c r="Q88" s="140"/>
      <c r="R88" s="62"/>
      <c r="S88" s="62"/>
      <c r="T88" s="35"/>
      <c r="U88" s="142"/>
      <c r="V88" s="142"/>
      <c r="W88" s="142"/>
      <c r="X88" s="143"/>
      <c r="Y88" s="143"/>
      <c r="Z88" s="69" t="s">
        <v>3744</v>
      </c>
      <c r="AA88" s="67">
        <v>43501</v>
      </c>
      <c r="AB88" s="69" t="s">
        <v>3737</v>
      </c>
      <c r="AC88" s="82">
        <v>117</v>
      </c>
      <c r="AD88" s="82">
        <v>77</v>
      </c>
      <c r="AE88" s="82">
        <f>((123.248+124.662+127.198+125.619+129.438)/5)</f>
        <v>126.03299999999999</v>
      </c>
      <c r="AF88" s="82">
        <v>24</v>
      </c>
      <c r="AG88" s="95">
        <f>AE88*AC88*AF88*0.0036</f>
        <v>1274.0423904</v>
      </c>
      <c r="AH88" s="95">
        <f>AE88*AD88*AF88*0.0036</f>
        <v>838.4723424</v>
      </c>
      <c r="AI88" s="69">
        <v>30</v>
      </c>
      <c r="AJ88" s="35">
        <v>12</v>
      </c>
      <c r="AK88" s="82">
        <v>0.7</v>
      </c>
      <c r="AL88" s="82">
        <v>0.53</v>
      </c>
      <c r="AM88" s="127">
        <f>AG88*AI88*AJ88*AK88</f>
        <v>321058.6823808</v>
      </c>
      <c r="AN88" s="128">
        <f>AH88*AI88*AJ88*AL88</f>
        <v>159980.52292992</v>
      </c>
      <c r="AO88" s="82"/>
    </row>
    <row r="89" spans="1:41" ht="37.5" customHeight="1">
      <c r="A89" s="35"/>
      <c r="B89" s="35"/>
      <c r="C89" s="35"/>
      <c r="D89" s="35"/>
      <c r="E89" s="35"/>
      <c r="F89" s="142"/>
      <c r="G89" s="69"/>
      <c r="H89" s="35"/>
      <c r="I89" s="35"/>
      <c r="J89" s="139"/>
      <c r="K89" s="35"/>
      <c r="L89" s="35"/>
      <c r="M89" s="35"/>
      <c r="N89" s="35"/>
      <c r="O89" s="35"/>
      <c r="P89" s="140"/>
      <c r="Q89" s="140"/>
      <c r="R89" s="62"/>
      <c r="S89" s="62"/>
      <c r="T89" s="35"/>
      <c r="U89" s="142"/>
      <c r="V89" s="142"/>
      <c r="W89" s="142"/>
      <c r="X89" s="143"/>
      <c r="Y89" s="143"/>
      <c r="Z89" s="69" t="s">
        <v>4009</v>
      </c>
      <c r="AA89" s="67">
        <v>43706</v>
      </c>
      <c r="AB89" s="69" t="s">
        <v>2503</v>
      </c>
      <c r="AC89" s="82">
        <v>86</v>
      </c>
      <c r="AD89" s="82">
        <v>48</v>
      </c>
      <c r="AE89" s="82">
        <v>50.46</v>
      </c>
      <c r="AF89" s="82">
        <v>24</v>
      </c>
      <c r="AG89" s="95">
        <f>AE89*AC89*AF89*0.0036</f>
        <v>374.937984</v>
      </c>
      <c r="AH89" s="95">
        <f>AE89*AD89*AF89*0.0036</f>
        <v>209.267712</v>
      </c>
      <c r="AI89" s="69">
        <v>30</v>
      </c>
      <c r="AJ89" s="35">
        <v>12</v>
      </c>
      <c r="AK89" s="82">
        <v>1.13</v>
      </c>
      <c r="AL89" s="82">
        <v>1.2</v>
      </c>
      <c r="AM89" s="127">
        <f>AG89*AI89*AJ89*AK89</f>
        <v>152524.77189119998</v>
      </c>
      <c r="AN89" s="128">
        <f>AH89*AI89*AJ89*AL89</f>
        <v>90403.65158399999</v>
      </c>
      <c r="AO89" s="82"/>
    </row>
    <row r="90" spans="1:41" ht="12.75">
      <c r="A90" s="35">
        <v>78</v>
      </c>
      <c r="B90" s="35" t="s">
        <v>2</v>
      </c>
      <c r="C90" s="35" t="s">
        <v>2</v>
      </c>
      <c r="D90" s="35">
        <v>3</v>
      </c>
      <c r="E90" s="35" t="s">
        <v>622</v>
      </c>
      <c r="F90" s="142" t="s">
        <v>626</v>
      </c>
      <c r="G90" s="69" t="s">
        <v>2493</v>
      </c>
      <c r="H90" s="35" t="s">
        <v>4166</v>
      </c>
      <c r="I90" s="35" t="s">
        <v>4127</v>
      </c>
      <c r="J90" s="139">
        <v>29104391</v>
      </c>
      <c r="K90" s="35" t="s">
        <v>2438</v>
      </c>
      <c r="L90" s="35">
        <v>3447000</v>
      </c>
      <c r="M90" s="35" t="s">
        <v>3735</v>
      </c>
      <c r="N90" s="35" t="s">
        <v>4181</v>
      </c>
      <c r="O90" s="35">
        <v>3428</v>
      </c>
      <c r="P90" s="140">
        <v>43073</v>
      </c>
      <c r="Q90" s="140">
        <v>46724</v>
      </c>
      <c r="R90" s="62" t="s">
        <v>2440</v>
      </c>
      <c r="S90" s="62" t="s">
        <v>2441</v>
      </c>
      <c r="T90" s="35" t="s">
        <v>2443</v>
      </c>
      <c r="U90" s="142" t="s">
        <v>2994</v>
      </c>
      <c r="V90" s="170" t="s">
        <v>1865</v>
      </c>
      <c r="W90" s="142">
        <v>2547</v>
      </c>
      <c r="X90" s="143">
        <v>105081.25</v>
      </c>
      <c r="Y90" s="143">
        <v>94804.03</v>
      </c>
      <c r="Z90" s="69" t="s">
        <v>3741</v>
      </c>
      <c r="AA90" s="82"/>
      <c r="AB90" s="82"/>
      <c r="AC90" s="82"/>
      <c r="AD90" s="82"/>
      <c r="AE90" s="82"/>
      <c r="AF90" s="82"/>
      <c r="AG90" s="95"/>
      <c r="AH90" s="95"/>
      <c r="AI90" s="69"/>
      <c r="AJ90" s="35"/>
      <c r="AK90" s="66"/>
      <c r="AL90" s="66"/>
      <c r="AM90" s="145">
        <f>AG90*AI90*AJ90*AK90</f>
        <v>0</v>
      </c>
      <c r="AN90" s="146">
        <f>AH90*AI90*AJ90*AL90</f>
        <v>0</v>
      </c>
      <c r="AO90" s="69"/>
    </row>
    <row r="91" spans="1:41" ht="25.5">
      <c r="A91" s="35">
        <v>79</v>
      </c>
      <c r="B91" s="35" t="s">
        <v>2</v>
      </c>
      <c r="C91" s="35" t="s">
        <v>2</v>
      </c>
      <c r="D91" s="35">
        <v>3</v>
      </c>
      <c r="E91" s="35" t="s">
        <v>623</v>
      </c>
      <c r="F91" s="138" t="s">
        <v>627</v>
      </c>
      <c r="G91" s="35" t="s">
        <v>2493</v>
      </c>
      <c r="H91" s="35" t="s">
        <v>4166</v>
      </c>
      <c r="I91" s="35" t="s">
        <v>4127</v>
      </c>
      <c r="J91" s="139">
        <v>29104391</v>
      </c>
      <c r="K91" s="35" t="s">
        <v>2438</v>
      </c>
      <c r="L91" s="35">
        <v>3447000</v>
      </c>
      <c r="M91" s="35" t="s">
        <v>3735</v>
      </c>
      <c r="N91" s="35" t="s">
        <v>4181</v>
      </c>
      <c r="O91" s="35">
        <v>3428</v>
      </c>
      <c r="P91" s="140">
        <v>43073</v>
      </c>
      <c r="Q91" s="140">
        <v>46724</v>
      </c>
      <c r="R91" s="35" t="s">
        <v>2440</v>
      </c>
      <c r="S91" s="35" t="s">
        <v>2441</v>
      </c>
      <c r="T91" s="35" t="s">
        <v>2443</v>
      </c>
      <c r="U91" s="138" t="s">
        <v>2995</v>
      </c>
      <c r="V91" s="138" t="s">
        <v>1866</v>
      </c>
      <c r="W91" s="138">
        <v>2542</v>
      </c>
      <c r="X91" s="143">
        <v>105328.93</v>
      </c>
      <c r="Y91" s="143">
        <v>94718.92</v>
      </c>
      <c r="Z91" s="69" t="s">
        <v>3744</v>
      </c>
      <c r="AA91" s="171">
        <v>43648</v>
      </c>
      <c r="AB91" s="35" t="s">
        <v>3932</v>
      </c>
      <c r="AC91" s="165">
        <v>202</v>
      </c>
      <c r="AD91" s="165">
        <v>118</v>
      </c>
      <c r="AE91" s="165">
        <f>((43.275+43.97+43.727+43.429+43.544)/5)</f>
        <v>43.589</v>
      </c>
      <c r="AF91" s="165">
        <v>24</v>
      </c>
      <c r="AG91" s="143">
        <f>AE91*AC91*AF91*0.0036</f>
        <v>760.7500991999999</v>
      </c>
      <c r="AH91" s="143">
        <f>AE91*AD91*AF91*0.0036</f>
        <v>444.3985727999999</v>
      </c>
      <c r="AI91" s="35">
        <v>30</v>
      </c>
      <c r="AJ91" s="35">
        <v>12</v>
      </c>
      <c r="AK91" s="165">
        <v>0.66</v>
      </c>
      <c r="AL91" s="165">
        <v>0.5</v>
      </c>
      <c r="AM91" s="118">
        <f>AG91*AI91*AJ91*AK91</f>
        <v>180754.22356992</v>
      </c>
      <c r="AN91" s="118">
        <f>AH91*AI91*AJ91*AL91</f>
        <v>79991.74310399998</v>
      </c>
      <c r="AO91" s="165" t="s">
        <v>2495</v>
      </c>
    </row>
    <row r="92" spans="1:41" ht="72.75" customHeight="1">
      <c r="A92" s="35">
        <v>80</v>
      </c>
      <c r="B92" s="35" t="s">
        <v>2</v>
      </c>
      <c r="C92" s="35" t="s">
        <v>2</v>
      </c>
      <c r="D92" s="35">
        <v>3</v>
      </c>
      <c r="E92" s="35" t="s">
        <v>624</v>
      </c>
      <c r="F92" s="142" t="s">
        <v>628</v>
      </c>
      <c r="G92" s="69" t="s">
        <v>2490</v>
      </c>
      <c r="H92" s="35" t="s">
        <v>4166</v>
      </c>
      <c r="I92" s="35" t="s">
        <v>4127</v>
      </c>
      <c r="J92" s="139">
        <v>29104391</v>
      </c>
      <c r="K92" s="35" t="s">
        <v>2438</v>
      </c>
      <c r="L92" s="35">
        <v>3447000</v>
      </c>
      <c r="M92" s="35" t="s">
        <v>3735</v>
      </c>
      <c r="N92" s="35" t="s">
        <v>4181</v>
      </c>
      <c r="O92" s="35">
        <v>3428</v>
      </c>
      <c r="P92" s="140">
        <v>43073</v>
      </c>
      <c r="Q92" s="140">
        <v>46724</v>
      </c>
      <c r="R92" s="62" t="s">
        <v>2440</v>
      </c>
      <c r="S92" s="142" t="s">
        <v>2442</v>
      </c>
      <c r="T92" s="35" t="s">
        <v>2443</v>
      </c>
      <c r="U92" s="142" t="s">
        <v>2996</v>
      </c>
      <c r="V92" s="142" t="s">
        <v>1867</v>
      </c>
      <c r="W92" s="142">
        <v>2545</v>
      </c>
      <c r="X92" s="143">
        <v>105425.11</v>
      </c>
      <c r="Y92" s="143">
        <v>94631.66</v>
      </c>
      <c r="Z92" s="69" t="s">
        <v>3933</v>
      </c>
      <c r="AA92" s="67">
        <v>43756</v>
      </c>
      <c r="AB92" s="147">
        <v>0.5673611111111111</v>
      </c>
      <c r="AC92" s="82"/>
      <c r="AD92" s="82"/>
      <c r="AE92" s="82"/>
      <c r="AF92" s="82"/>
      <c r="AG92" s="95"/>
      <c r="AH92" s="95"/>
      <c r="AI92" s="69"/>
      <c r="AJ92" s="35"/>
      <c r="AK92" s="82"/>
      <c r="AL92" s="82"/>
      <c r="AM92" s="117">
        <v>4029.8760013589863</v>
      </c>
      <c r="AN92" s="118">
        <v>569.7084381392568</v>
      </c>
      <c r="AO92" s="69" t="s">
        <v>2495</v>
      </c>
    </row>
    <row r="93" spans="1:43" ht="66" customHeight="1">
      <c r="A93" s="35">
        <v>81</v>
      </c>
      <c r="B93" s="35" t="s">
        <v>2</v>
      </c>
      <c r="C93" s="35" t="s">
        <v>2</v>
      </c>
      <c r="D93" s="35">
        <v>3</v>
      </c>
      <c r="E93" s="35" t="s">
        <v>625</v>
      </c>
      <c r="F93" s="35" t="s">
        <v>2084</v>
      </c>
      <c r="G93" s="69" t="s">
        <v>2493</v>
      </c>
      <c r="H93" s="35" t="s">
        <v>4166</v>
      </c>
      <c r="I93" s="35" t="s">
        <v>4127</v>
      </c>
      <c r="J93" s="139">
        <v>29104391</v>
      </c>
      <c r="K93" s="35" t="s">
        <v>2438</v>
      </c>
      <c r="L93" s="35">
        <v>3447000</v>
      </c>
      <c r="M93" s="35" t="s">
        <v>3735</v>
      </c>
      <c r="N93" s="35" t="s">
        <v>4181</v>
      </c>
      <c r="O93" s="35">
        <v>3428</v>
      </c>
      <c r="P93" s="140">
        <v>43073</v>
      </c>
      <c r="Q93" s="140">
        <v>46724</v>
      </c>
      <c r="R93" s="62" t="s">
        <v>2440</v>
      </c>
      <c r="S93" s="62" t="s">
        <v>2441</v>
      </c>
      <c r="T93" s="35" t="s">
        <v>2443</v>
      </c>
      <c r="U93" s="82" t="s">
        <v>2997</v>
      </c>
      <c r="V93" s="82" t="s">
        <v>1868</v>
      </c>
      <c r="W93" s="82">
        <v>2546</v>
      </c>
      <c r="X93" s="143">
        <v>105478.27</v>
      </c>
      <c r="Y93" s="143">
        <v>94626.73</v>
      </c>
      <c r="Z93" s="69" t="s">
        <v>3758</v>
      </c>
      <c r="AA93" s="67">
        <v>43501</v>
      </c>
      <c r="AB93" s="147">
        <v>0.5833333333333334</v>
      </c>
      <c r="AC93" s="69"/>
      <c r="AD93" s="93"/>
      <c r="AE93" s="93"/>
      <c r="AF93" s="93"/>
      <c r="AG93" s="93"/>
      <c r="AH93" s="93"/>
      <c r="AI93" s="93"/>
      <c r="AJ93" s="93"/>
      <c r="AK93" s="93"/>
      <c r="AL93" s="93"/>
      <c r="AM93" s="117">
        <f>AG93*AI93*AJ93*AK93</f>
        <v>0</v>
      </c>
      <c r="AN93" s="118">
        <f>AH93*AI93*AJ93*AL93</f>
        <v>0</v>
      </c>
      <c r="AO93" s="69"/>
      <c r="AP93" s="106"/>
      <c r="AQ93" s="106"/>
    </row>
    <row r="94" spans="1:43" s="8" customFormat="1" ht="15.75" customHeight="1">
      <c r="A94" s="215" t="s">
        <v>2414</v>
      </c>
      <c r="B94" s="216"/>
      <c r="C94" s="216"/>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119">
        <f>AM70+AM72+AM76+AM77+AM81+AM84+AM85+AM87+AM91+AM93+AM92</f>
        <v>434672.771004495</v>
      </c>
      <c r="AN94" s="119">
        <f>AN70+AN72+AN76+AN77+AN81+AN84+AN85+AN87+AN91+AN93+AN92</f>
        <v>230505.2030934992</v>
      </c>
      <c r="AO94" s="69"/>
      <c r="AP94" s="106"/>
      <c r="AQ94" s="106"/>
    </row>
    <row r="95" spans="1:43" s="8" customFormat="1" ht="14.25" customHeight="1">
      <c r="A95" s="213" t="s">
        <v>2415</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73">
        <f>SUM(AM67:AM72,AM75:AM87,AM90:AM93)</f>
        <v>434672.771004495</v>
      </c>
      <c r="AN95" s="73">
        <f>SUM(AN67:AN72,AN75:AN87,AN90:AN93)</f>
        <v>230505.2030934992</v>
      </c>
      <c r="AO95" s="69"/>
      <c r="AP95" s="106"/>
      <c r="AQ95" s="106"/>
    </row>
    <row r="96" spans="1:43" ht="38.25" customHeight="1">
      <c r="A96" s="35">
        <v>82</v>
      </c>
      <c r="B96" s="35" t="s">
        <v>2</v>
      </c>
      <c r="C96" s="35" t="s">
        <v>2</v>
      </c>
      <c r="D96" s="35">
        <v>4</v>
      </c>
      <c r="E96" s="35" t="s">
        <v>631</v>
      </c>
      <c r="F96" s="142" t="s">
        <v>641</v>
      </c>
      <c r="G96" s="69" t="s">
        <v>2490</v>
      </c>
      <c r="H96" s="35" t="s">
        <v>4166</v>
      </c>
      <c r="I96" s="35" t="s">
        <v>4127</v>
      </c>
      <c r="J96" s="139">
        <v>29104391</v>
      </c>
      <c r="K96" s="35" t="s">
        <v>2438</v>
      </c>
      <c r="L96" s="35">
        <v>3447000</v>
      </c>
      <c r="M96" s="35" t="s">
        <v>3735</v>
      </c>
      <c r="N96" s="35" t="s">
        <v>4181</v>
      </c>
      <c r="O96" s="35">
        <v>3428</v>
      </c>
      <c r="P96" s="140">
        <v>43073</v>
      </c>
      <c r="Q96" s="140">
        <v>46724</v>
      </c>
      <c r="R96" s="62" t="s">
        <v>2440</v>
      </c>
      <c r="S96" s="142" t="s">
        <v>2442</v>
      </c>
      <c r="T96" s="35" t="s">
        <v>2443</v>
      </c>
      <c r="U96" s="142" t="s">
        <v>2998</v>
      </c>
      <c r="V96" s="142" t="s">
        <v>2999</v>
      </c>
      <c r="W96" s="142">
        <v>2549</v>
      </c>
      <c r="X96" s="143">
        <v>105786.78</v>
      </c>
      <c r="Y96" s="143">
        <v>94260.11</v>
      </c>
      <c r="Z96" s="2" t="s">
        <v>4046</v>
      </c>
      <c r="AA96" s="172"/>
      <c r="AB96" s="173"/>
      <c r="AC96" s="183"/>
      <c r="AD96" s="183"/>
      <c r="AE96" s="183"/>
      <c r="AF96" s="183"/>
      <c r="AG96" s="183"/>
      <c r="AH96" s="183"/>
      <c r="AI96" s="183"/>
      <c r="AJ96" s="183"/>
      <c r="AK96" s="183"/>
      <c r="AL96" s="183"/>
      <c r="AM96" s="117">
        <f>AVERAGE(AM97:AM98)</f>
        <v>11051968.458239999</v>
      </c>
      <c r="AN96" s="117">
        <f>AVERAGE(AN97:AN98)</f>
        <v>10860244.796694528</v>
      </c>
      <c r="AO96" s="196" t="s">
        <v>2495</v>
      </c>
      <c r="AP96" s="107"/>
      <c r="AQ96" s="107"/>
    </row>
    <row r="97" spans="1:43" ht="38.25" customHeight="1">
      <c r="A97" s="184"/>
      <c r="B97" s="184"/>
      <c r="C97" s="184"/>
      <c r="D97" s="184"/>
      <c r="E97" s="184"/>
      <c r="F97" s="186"/>
      <c r="G97" s="178"/>
      <c r="H97" s="184"/>
      <c r="I97" s="184"/>
      <c r="J97" s="187"/>
      <c r="K97" s="184"/>
      <c r="L97" s="184"/>
      <c r="M97" s="184"/>
      <c r="N97" s="184"/>
      <c r="O97" s="184"/>
      <c r="P97" s="188"/>
      <c r="Q97" s="188"/>
      <c r="R97" s="185"/>
      <c r="S97" s="186"/>
      <c r="T97" s="184"/>
      <c r="U97" s="186"/>
      <c r="V97" s="186"/>
      <c r="W97" s="186"/>
      <c r="X97" s="189"/>
      <c r="Y97" s="189"/>
      <c r="Z97" s="69" t="s">
        <v>3744</v>
      </c>
      <c r="AA97" s="104">
        <v>43550</v>
      </c>
      <c r="AB97" s="82" t="s">
        <v>2531</v>
      </c>
      <c r="AC97" s="82">
        <v>275</v>
      </c>
      <c r="AD97" s="82">
        <v>246</v>
      </c>
      <c r="AE97" s="133">
        <f>((1111.153+1109.749+1149.556+1117.085+1115.945)/5)</f>
        <v>1120.6976</v>
      </c>
      <c r="AF97" s="82">
        <v>24</v>
      </c>
      <c r="AG97" s="143">
        <f>AE97*AC97*AF97*0.0036</f>
        <v>26627.774975999997</v>
      </c>
      <c r="AH97" s="143">
        <f>AE97*AD97*AF97*0.0036</f>
        <v>23819.755069439998</v>
      </c>
      <c r="AI97" s="69">
        <v>30</v>
      </c>
      <c r="AJ97" s="35">
        <v>12</v>
      </c>
      <c r="AK97" s="82">
        <v>0.75</v>
      </c>
      <c r="AL97" s="82">
        <v>0.59</v>
      </c>
      <c r="AM97" s="127">
        <f>AG97*AI97*AJ97*AK97</f>
        <v>7189499.243519998</v>
      </c>
      <c r="AN97" s="128">
        <f>AH97*AI97*AJ97*AL97</f>
        <v>5059315.976749055</v>
      </c>
      <c r="AO97" s="192"/>
      <c r="AP97" s="8"/>
      <c r="AQ97" s="8"/>
    </row>
    <row r="98" spans="1:43" ht="38.25" customHeight="1">
      <c r="A98" s="184"/>
      <c r="B98" s="184"/>
      <c r="C98" s="184"/>
      <c r="D98" s="184"/>
      <c r="E98" s="184"/>
      <c r="F98" s="186"/>
      <c r="G98" s="178"/>
      <c r="H98" s="184"/>
      <c r="I98" s="184"/>
      <c r="J98" s="187"/>
      <c r="K98" s="184"/>
      <c r="L98" s="184"/>
      <c r="M98" s="184"/>
      <c r="N98" s="184"/>
      <c r="O98" s="184"/>
      <c r="P98" s="188"/>
      <c r="Q98" s="188"/>
      <c r="R98" s="185"/>
      <c r="S98" s="186"/>
      <c r="T98" s="184"/>
      <c r="U98" s="186"/>
      <c r="V98" s="186"/>
      <c r="W98" s="186"/>
      <c r="X98" s="189"/>
      <c r="Y98" s="189"/>
      <c r="Z98" s="69" t="s">
        <v>4070</v>
      </c>
      <c r="AA98" s="104">
        <v>43614</v>
      </c>
      <c r="AB98" s="82" t="s">
        <v>3934</v>
      </c>
      <c r="AC98" s="82">
        <v>185</v>
      </c>
      <c r="AD98" s="82">
        <v>200</v>
      </c>
      <c r="AE98" s="133">
        <v>2159.92</v>
      </c>
      <c r="AF98" s="82">
        <v>24</v>
      </c>
      <c r="AG98" s="143">
        <f>AE98*AC98*AF98*0.0036</f>
        <v>34524.16128</v>
      </c>
      <c r="AH98" s="143">
        <f>AE98*AD98*AF98*0.0036</f>
        <v>37323.4176</v>
      </c>
      <c r="AI98" s="69">
        <v>30</v>
      </c>
      <c r="AJ98" s="35">
        <v>12</v>
      </c>
      <c r="AK98" s="82">
        <v>1.2</v>
      </c>
      <c r="AL98" s="82">
        <v>1.24</v>
      </c>
      <c r="AM98" s="127">
        <f>AG98*AI98*AJ98*AK98</f>
        <v>14914437.67296</v>
      </c>
      <c r="AN98" s="128">
        <f>AH98*AI98*AJ98*AL98</f>
        <v>16661173.61664</v>
      </c>
      <c r="AO98" s="197"/>
      <c r="AP98" s="107"/>
      <c r="AQ98" s="107"/>
    </row>
    <row r="99" spans="1:43" ht="38.25" customHeight="1">
      <c r="A99" s="35">
        <v>83</v>
      </c>
      <c r="B99" s="35" t="s">
        <v>2</v>
      </c>
      <c r="C99" s="35" t="s">
        <v>2</v>
      </c>
      <c r="D99" s="35">
        <v>4</v>
      </c>
      <c r="E99" s="35" t="s">
        <v>632</v>
      </c>
      <c r="F99" s="142" t="s">
        <v>642</v>
      </c>
      <c r="G99" s="69" t="s">
        <v>2493</v>
      </c>
      <c r="H99" s="35" t="s">
        <v>4166</v>
      </c>
      <c r="I99" s="35" t="s">
        <v>4127</v>
      </c>
      <c r="J99" s="139">
        <v>29104391</v>
      </c>
      <c r="K99" s="35" t="s">
        <v>2438</v>
      </c>
      <c r="L99" s="35">
        <v>3447000</v>
      </c>
      <c r="M99" s="35" t="s">
        <v>3735</v>
      </c>
      <c r="N99" s="35" t="s">
        <v>4181</v>
      </c>
      <c r="O99" s="35">
        <v>3428</v>
      </c>
      <c r="P99" s="140">
        <v>43073</v>
      </c>
      <c r="Q99" s="140">
        <v>46724</v>
      </c>
      <c r="R99" s="62" t="s">
        <v>2440</v>
      </c>
      <c r="S99" s="62" t="s">
        <v>2441</v>
      </c>
      <c r="T99" s="35" t="s">
        <v>2443</v>
      </c>
      <c r="U99" s="142" t="s">
        <v>3000</v>
      </c>
      <c r="V99" s="142" t="s">
        <v>3001</v>
      </c>
      <c r="W99" s="142">
        <v>2548</v>
      </c>
      <c r="X99" s="143">
        <v>105739.46</v>
      </c>
      <c r="Y99" s="143">
        <v>94269.98</v>
      </c>
      <c r="Z99" s="2" t="s">
        <v>4046</v>
      </c>
      <c r="AA99" s="190" t="s">
        <v>3896</v>
      </c>
      <c r="AB99" s="191" t="s">
        <v>3896</v>
      </c>
      <c r="AC99" s="13"/>
      <c r="AD99" s="13"/>
      <c r="AE99" s="13"/>
      <c r="AF99" s="13"/>
      <c r="AG99" s="143"/>
      <c r="AH99" s="143"/>
      <c r="AI99" s="13"/>
      <c r="AJ99" s="13"/>
      <c r="AK99" s="13"/>
      <c r="AL99" s="13"/>
      <c r="AM99" s="194">
        <f>AVERAGE(AM100:AM101)</f>
        <v>2491777.0560706565</v>
      </c>
      <c r="AN99" s="194">
        <f>AVERAGE(AN100:AN101)</f>
        <v>6122014.505201664</v>
      </c>
      <c r="AO99" s="82" t="s">
        <v>2495</v>
      </c>
      <c r="AP99" s="107"/>
      <c r="AQ99" s="107"/>
    </row>
    <row r="100" spans="1:43" ht="30" customHeight="1" hidden="1">
      <c r="A100" s="35"/>
      <c r="B100" s="35"/>
      <c r="C100" s="35"/>
      <c r="D100" s="35"/>
      <c r="E100" s="35"/>
      <c r="F100" s="142"/>
      <c r="G100" s="69"/>
      <c r="H100" s="35"/>
      <c r="I100" s="35"/>
      <c r="J100" s="139"/>
      <c r="K100" s="35"/>
      <c r="L100" s="35"/>
      <c r="M100" s="35"/>
      <c r="N100" s="35" t="s">
        <v>4181</v>
      </c>
      <c r="O100" s="35"/>
      <c r="P100" s="140"/>
      <c r="Q100" s="140"/>
      <c r="R100" s="62"/>
      <c r="S100" s="62"/>
      <c r="T100" s="35"/>
      <c r="U100" s="142"/>
      <c r="V100" s="142"/>
      <c r="W100" s="142"/>
      <c r="X100" s="143"/>
      <c r="Y100" s="143"/>
      <c r="Z100" s="69" t="s">
        <v>3744</v>
      </c>
      <c r="AA100" s="104">
        <v>43550</v>
      </c>
      <c r="AB100" s="82" t="s">
        <v>3926</v>
      </c>
      <c r="AC100" s="82">
        <v>152</v>
      </c>
      <c r="AD100" s="82">
        <v>144</v>
      </c>
      <c r="AE100" s="82">
        <f>((343.329+344.09+344.682+353.265+354.863)/5)</f>
        <v>348.0458</v>
      </c>
      <c r="AF100" s="82">
        <v>24</v>
      </c>
      <c r="AG100" s="143">
        <f>AE100*AC100*AF100*0.0036</f>
        <v>4570.81588224</v>
      </c>
      <c r="AH100" s="143">
        <f>AE100*AD100*AF100*0.0036</f>
        <v>4330.2466252799995</v>
      </c>
      <c r="AI100" s="82">
        <v>30</v>
      </c>
      <c r="AJ100" s="82">
        <v>12</v>
      </c>
      <c r="AK100" s="82">
        <v>0.83</v>
      </c>
      <c r="AL100" s="82">
        <v>0.66</v>
      </c>
      <c r="AM100" s="127">
        <f>AG100*AI100*AJ100*AK100</f>
        <v>1365759.7856133122</v>
      </c>
      <c r="AN100" s="128">
        <f>AH100*AI100*AJ100*AL100</f>
        <v>1028866.5981665279</v>
      </c>
      <c r="AO100" s="82"/>
      <c r="AP100" s="8"/>
      <c r="AQ100" s="8"/>
    </row>
    <row r="101" spans="1:41" ht="45.75" customHeight="1" hidden="1">
      <c r="A101" s="35"/>
      <c r="B101" s="35"/>
      <c r="C101" s="35"/>
      <c r="D101" s="35"/>
      <c r="E101" s="35"/>
      <c r="F101" s="142"/>
      <c r="G101" s="69"/>
      <c r="H101" s="35"/>
      <c r="I101" s="35"/>
      <c r="J101" s="139"/>
      <c r="K101" s="35"/>
      <c r="L101" s="35"/>
      <c r="M101" s="35"/>
      <c r="N101" s="35" t="s">
        <v>4181</v>
      </c>
      <c r="O101" s="35"/>
      <c r="P101" s="140"/>
      <c r="Q101" s="140"/>
      <c r="R101" s="62"/>
      <c r="S101" s="62"/>
      <c r="T101" s="35"/>
      <c r="U101" s="142"/>
      <c r="V101" s="142"/>
      <c r="W101" s="142"/>
      <c r="X101" s="143"/>
      <c r="Y101" s="143"/>
      <c r="Z101" s="69" t="s">
        <v>4071</v>
      </c>
      <c r="AA101" s="104">
        <v>43614</v>
      </c>
      <c r="AB101" s="82" t="s">
        <v>3935</v>
      </c>
      <c r="AC101" s="82">
        <v>96</v>
      </c>
      <c r="AD101" s="82">
        <v>288</v>
      </c>
      <c r="AE101" s="82">
        <v>1009.6600000000001</v>
      </c>
      <c r="AF101" s="82">
        <v>24</v>
      </c>
      <c r="AG101" s="143">
        <f>AE101*AC101*AF101*0.0036</f>
        <v>8374.523904000001</v>
      </c>
      <c r="AH101" s="143">
        <f>AE101*AD101*AF101*0.0036</f>
        <v>25123.571712</v>
      </c>
      <c r="AI101" s="82">
        <v>30</v>
      </c>
      <c r="AJ101" s="82">
        <v>12</v>
      </c>
      <c r="AK101" s="82">
        <v>1.2</v>
      </c>
      <c r="AL101" s="82">
        <v>1.24</v>
      </c>
      <c r="AM101" s="127">
        <f>AG101*AI101*AJ101*AK101</f>
        <v>3617794.3265280006</v>
      </c>
      <c r="AN101" s="128">
        <f>AH101*AI101*AJ101*AL101</f>
        <v>11215162.4122368</v>
      </c>
      <c r="AO101" s="93"/>
    </row>
    <row r="102" spans="1:41" ht="45.75" customHeight="1">
      <c r="A102" s="35">
        <v>84</v>
      </c>
      <c r="B102" s="35" t="s">
        <v>2</v>
      </c>
      <c r="C102" s="35" t="s">
        <v>2</v>
      </c>
      <c r="D102" s="35">
        <v>4</v>
      </c>
      <c r="E102" s="35" t="s">
        <v>633</v>
      </c>
      <c r="F102" s="142" t="s">
        <v>643</v>
      </c>
      <c r="G102" s="69" t="s">
        <v>2493</v>
      </c>
      <c r="H102" s="35" t="s">
        <v>4166</v>
      </c>
      <c r="I102" s="35" t="s">
        <v>4127</v>
      </c>
      <c r="J102" s="139">
        <v>29104391</v>
      </c>
      <c r="K102" s="35" t="s">
        <v>2438</v>
      </c>
      <c r="L102" s="35">
        <v>3447000</v>
      </c>
      <c r="M102" s="35" t="s">
        <v>3735</v>
      </c>
      <c r="N102" s="35" t="s">
        <v>4181</v>
      </c>
      <c r="O102" s="35">
        <v>3428</v>
      </c>
      <c r="P102" s="140">
        <v>43073</v>
      </c>
      <c r="Q102" s="140">
        <v>46724</v>
      </c>
      <c r="R102" s="62" t="s">
        <v>2440</v>
      </c>
      <c r="S102" s="142" t="s">
        <v>2442</v>
      </c>
      <c r="T102" s="35" t="s">
        <v>2443</v>
      </c>
      <c r="U102" s="142" t="s">
        <v>3002</v>
      </c>
      <c r="V102" s="142" t="s">
        <v>3003</v>
      </c>
      <c r="W102" s="142">
        <v>2549</v>
      </c>
      <c r="X102" s="143">
        <v>105861.76</v>
      </c>
      <c r="Y102" s="143">
        <v>94003.27</v>
      </c>
      <c r="Z102" s="2" t="s">
        <v>4046</v>
      </c>
      <c r="AA102" s="104"/>
      <c r="AB102" s="82"/>
      <c r="AC102" s="82"/>
      <c r="AD102" s="82"/>
      <c r="AE102" s="82"/>
      <c r="AF102" s="82"/>
      <c r="AG102" s="143"/>
      <c r="AH102" s="143"/>
      <c r="AI102" s="82"/>
      <c r="AJ102" s="82"/>
      <c r="AK102" s="82"/>
      <c r="AL102" s="82"/>
      <c r="AM102" s="117">
        <f>AVERAGE(AM103:AM104)</f>
        <v>1524259.0925798398</v>
      </c>
      <c r="AN102" s="117">
        <f>AVERAGE(AN103:AN104)</f>
        <v>1459778.94475776</v>
      </c>
      <c r="AO102" s="82" t="s">
        <v>2495</v>
      </c>
    </row>
    <row r="103" spans="1:44" ht="40.5" customHeight="1" hidden="1">
      <c r="A103" s="184"/>
      <c r="B103" s="184"/>
      <c r="C103" s="184"/>
      <c r="D103" s="184"/>
      <c r="E103" s="184"/>
      <c r="F103" s="186"/>
      <c r="G103" s="178"/>
      <c r="H103" s="184"/>
      <c r="I103" s="184"/>
      <c r="J103" s="187"/>
      <c r="K103" s="184"/>
      <c r="L103" s="184"/>
      <c r="M103" s="184"/>
      <c r="N103" s="35" t="s">
        <v>4181</v>
      </c>
      <c r="O103" s="184"/>
      <c r="P103" s="188"/>
      <c r="Q103" s="188"/>
      <c r="R103" s="185"/>
      <c r="S103" s="186"/>
      <c r="T103" s="184"/>
      <c r="U103" s="186"/>
      <c r="V103" s="186"/>
      <c r="W103" s="186"/>
      <c r="X103" s="189"/>
      <c r="Y103" s="189"/>
      <c r="Z103" s="69" t="s">
        <v>3744</v>
      </c>
      <c r="AA103" s="104">
        <v>43542</v>
      </c>
      <c r="AB103" s="82" t="s">
        <v>3936</v>
      </c>
      <c r="AC103" s="82">
        <v>254</v>
      </c>
      <c r="AD103" s="82">
        <v>258</v>
      </c>
      <c r="AE103" s="82">
        <f>((201.784+206.776+203.448+211.768+210.104)/5)</f>
        <v>206.776</v>
      </c>
      <c r="AF103" s="82">
        <v>24</v>
      </c>
      <c r="AG103" s="143">
        <f>AE103*AC103*AF103*0.0036</f>
        <v>4537.8233856</v>
      </c>
      <c r="AH103" s="143">
        <f>AE103*AD103*AF103*0.0036</f>
        <v>4609.2851712</v>
      </c>
      <c r="AI103" s="69">
        <v>30</v>
      </c>
      <c r="AJ103" s="35">
        <v>12</v>
      </c>
      <c r="AK103" s="82">
        <v>0.83</v>
      </c>
      <c r="AL103" s="82">
        <v>0.66</v>
      </c>
      <c r="AM103" s="127">
        <f>AG103*AI103*AJ103*AK103</f>
        <v>1355901.6276172798</v>
      </c>
      <c r="AN103" s="128">
        <f>AH103*AI103*AJ103*AL103</f>
        <v>1095166.1566771201</v>
      </c>
      <c r="AO103" s="93"/>
      <c r="AP103" s="107"/>
      <c r="AQ103" s="107"/>
      <c r="AR103" s="8"/>
    </row>
    <row r="104" spans="1:44" ht="42.75" customHeight="1" hidden="1">
      <c r="A104" s="184"/>
      <c r="B104" s="184"/>
      <c r="C104" s="184"/>
      <c r="D104" s="184"/>
      <c r="E104" s="184"/>
      <c r="F104" s="186"/>
      <c r="G104" s="178"/>
      <c r="H104" s="184"/>
      <c r="I104" s="184"/>
      <c r="J104" s="187"/>
      <c r="K104" s="184"/>
      <c r="L104" s="184"/>
      <c r="M104" s="184"/>
      <c r="N104" s="35" t="s">
        <v>4181</v>
      </c>
      <c r="O104" s="184"/>
      <c r="P104" s="188"/>
      <c r="Q104" s="188"/>
      <c r="R104" s="185"/>
      <c r="S104" s="186"/>
      <c r="T104" s="184"/>
      <c r="U104" s="186"/>
      <c r="V104" s="186"/>
      <c r="W104" s="186"/>
      <c r="X104" s="189"/>
      <c r="Y104" s="189"/>
      <c r="Z104" s="69" t="s">
        <v>4072</v>
      </c>
      <c r="AA104" s="104">
        <v>43614</v>
      </c>
      <c r="AB104" s="82" t="s">
        <v>3937</v>
      </c>
      <c r="AC104" s="82">
        <v>301</v>
      </c>
      <c r="AD104" s="82">
        <v>408</v>
      </c>
      <c r="AE104" s="82">
        <v>217.82</v>
      </c>
      <c r="AF104" s="82">
        <v>24</v>
      </c>
      <c r="AG104" s="143">
        <f>AE104*AC104*AF104*0.0036</f>
        <v>5664.714047999999</v>
      </c>
      <c r="AH104" s="143">
        <f>AE104*AD104*AF104*0.0036</f>
        <v>7678.416383999999</v>
      </c>
      <c r="AI104" s="69">
        <v>30</v>
      </c>
      <c r="AJ104" s="35">
        <v>12</v>
      </c>
      <c r="AK104" s="82">
        <v>0.83</v>
      </c>
      <c r="AL104" s="82">
        <v>0.66</v>
      </c>
      <c r="AM104" s="127">
        <f>AG104*AI104*AJ104*AK104</f>
        <v>1692616.5575423997</v>
      </c>
      <c r="AN104" s="128">
        <f>AH104*AI104*AJ104*AL104</f>
        <v>1824391.7328384002</v>
      </c>
      <c r="AO104" s="93"/>
      <c r="AP104" s="107"/>
      <c r="AQ104" s="107"/>
      <c r="AR104" s="8"/>
    </row>
    <row r="105" spans="1:44" ht="45" customHeight="1">
      <c r="A105" s="35">
        <v>85</v>
      </c>
      <c r="B105" s="35" t="s">
        <v>2</v>
      </c>
      <c r="C105" s="35" t="s">
        <v>2</v>
      </c>
      <c r="D105" s="35">
        <v>4</v>
      </c>
      <c r="E105" s="35" t="s">
        <v>635</v>
      </c>
      <c r="F105" s="142" t="s">
        <v>643</v>
      </c>
      <c r="G105" s="69" t="s">
        <v>2493</v>
      </c>
      <c r="H105" s="35" t="s">
        <v>4166</v>
      </c>
      <c r="I105" s="35" t="s">
        <v>4127</v>
      </c>
      <c r="J105" s="139">
        <v>29104391</v>
      </c>
      <c r="K105" s="35" t="s">
        <v>2438</v>
      </c>
      <c r="L105" s="35">
        <v>3447000</v>
      </c>
      <c r="M105" s="35" t="s">
        <v>3735</v>
      </c>
      <c r="N105" s="35" t="s">
        <v>4181</v>
      </c>
      <c r="O105" s="35">
        <v>3428</v>
      </c>
      <c r="P105" s="140">
        <v>43073</v>
      </c>
      <c r="Q105" s="140">
        <v>46724</v>
      </c>
      <c r="R105" s="62" t="s">
        <v>2440</v>
      </c>
      <c r="S105" s="142" t="s">
        <v>2442</v>
      </c>
      <c r="T105" s="35" t="s">
        <v>2443</v>
      </c>
      <c r="U105" s="142" t="s">
        <v>3004</v>
      </c>
      <c r="V105" s="142" t="s">
        <v>3005</v>
      </c>
      <c r="W105" s="142">
        <v>2549</v>
      </c>
      <c r="X105" s="143">
        <v>105874.66</v>
      </c>
      <c r="Y105" s="143">
        <v>93979.52</v>
      </c>
      <c r="Z105" s="2" t="s">
        <v>4046</v>
      </c>
      <c r="AA105" s="104"/>
      <c r="AB105" s="82"/>
      <c r="AC105" s="82"/>
      <c r="AD105" s="82"/>
      <c r="AE105" s="82"/>
      <c r="AF105" s="82"/>
      <c r="AG105" s="95"/>
      <c r="AH105" s="95"/>
      <c r="AI105" s="69"/>
      <c r="AJ105" s="35"/>
      <c r="AK105" s="82"/>
      <c r="AL105" s="82"/>
      <c r="AM105" s="117">
        <f>AVERAGE(AM106:AM107)</f>
        <v>1732628.062711296</v>
      </c>
      <c r="AN105" s="117">
        <f>AVERAGE(AN106:AN107)</f>
        <v>1125941.3097615358</v>
      </c>
      <c r="AO105" s="82" t="s">
        <v>2495</v>
      </c>
      <c r="AP105" s="107"/>
      <c r="AQ105" s="107"/>
      <c r="AR105" s="8"/>
    </row>
    <row r="106" spans="1:44" ht="51" customHeight="1" hidden="1">
      <c r="A106" s="184"/>
      <c r="B106" s="184"/>
      <c r="C106" s="184"/>
      <c r="D106" s="184"/>
      <c r="E106" s="184"/>
      <c r="F106" s="186"/>
      <c r="G106" s="178"/>
      <c r="H106" s="184"/>
      <c r="I106" s="184"/>
      <c r="J106" s="187"/>
      <c r="K106" s="184"/>
      <c r="L106" s="184"/>
      <c r="M106" s="184"/>
      <c r="N106" s="35" t="s">
        <v>4181</v>
      </c>
      <c r="O106" s="184"/>
      <c r="P106" s="188"/>
      <c r="Q106" s="188"/>
      <c r="R106" s="185"/>
      <c r="S106" s="186"/>
      <c r="T106" s="184"/>
      <c r="U106" s="186"/>
      <c r="V106" s="186"/>
      <c r="W106" s="186"/>
      <c r="X106" s="189"/>
      <c r="Y106" s="189"/>
      <c r="Z106" s="69" t="s">
        <v>3744</v>
      </c>
      <c r="AA106" s="104">
        <v>43542</v>
      </c>
      <c r="AB106" s="135" t="s">
        <v>2529</v>
      </c>
      <c r="AC106" s="82">
        <v>248</v>
      </c>
      <c r="AD106" s="82">
        <v>276</v>
      </c>
      <c r="AE106" s="82">
        <f>((123.708+125.523+121.892+123.431+130.063)/5)</f>
        <v>124.92339999999999</v>
      </c>
      <c r="AF106" s="82">
        <v>24</v>
      </c>
      <c r="AG106" s="143">
        <f>AE106*AC106*AF106*0.0036</f>
        <v>2676.75867648</v>
      </c>
      <c r="AH106" s="143">
        <f>AE106*AD106*AF106*0.0036</f>
        <v>2978.9733657599995</v>
      </c>
      <c r="AI106" s="69">
        <v>30</v>
      </c>
      <c r="AJ106" s="35">
        <v>12</v>
      </c>
      <c r="AK106" s="82">
        <v>0.64</v>
      </c>
      <c r="AL106" s="82">
        <v>0.52</v>
      </c>
      <c r="AM106" s="127">
        <f>AG106*AI106*AJ106*AK106</f>
        <v>616725.199060992</v>
      </c>
      <c r="AN106" s="128">
        <f>AH106*AI106*AJ106*AL106</f>
        <v>557663.8140702719</v>
      </c>
      <c r="AO106" s="93"/>
      <c r="AP106" s="107"/>
      <c r="AQ106" s="107"/>
      <c r="AR106" s="8"/>
    </row>
    <row r="107" spans="1:44" ht="45" customHeight="1" hidden="1">
      <c r="A107" s="184"/>
      <c r="B107" s="184"/>
      <c r="C107" s="184"/>
      <c r="D107" s="184"/>
      <c r="E107" s="184"/>
      <c r="F107" s="186"/>
      <c r="G107" s="178"/>
      <c r="H107" s="184"/>
      <c r="I107" s="184"/>
      <c r="J107" s="187"/>
      <c r="K107" s="184"/>
      <c r="L107" s="184"/>
      <c r="M107" s="184"/>
      <c r="N107" s="35" t="s">
        <v>4181</v>
      </c>
      <c r="O107" s="184"/>
      <c r="P107" s="188"/>
      <c r="Q107" s="188"/>
      <c r="R107" s="185"/>
      <c r="S107" s="186"/>
      <c r="T107" s="184"/>
      <c r="U107" s="186"/>
      <c r="V107" s="186"/>
      <c r="W107" s="186"/>
      <c r="X107" s="189"/>
      <c r="Y107" s="189"/>
      <c r="Z107" s="69" t="s">
        <v>4073</v>
      </c>
      <c r="AA107" s="104">
        <v>43614</v>
      </c>
      <c r="AB107" s="135" t="s">
        <v>3936</v>
      </c>
      <c r="AC107" s="82">
        <v>369</v>
      </c>
      <c r="AD107" s="82">
        <v>276</v>
      </c>
      <c r="AE107" s="82">
        <v>299.02</v>
      </c>
      <c r="AF107" s="82">
        <v>24</v>
      </c>
      <c r="AG107" s="143">
        <f>AE107*AC107*AF107*0.0036</f>
        <v>9533.236031999999</v>
      </c>
      <c r="AH107" s="143">
        <f>AE107*AD107*AF107*0.0036</f>
        <v>7130.550527999999</v>
      </c>
      <c r="AI107" s="69">
        <v>30</v>
      </c>
      <c r="AJ107" s="35">
        <v>12</v>
      </c>
      <c r="AK107" s="82">
        <v>0.83</v>
      </c>
      <c r="AL107" s="82">
        <v>0.66</v>
      </c>
      <c r="AM107" s="127">
        <f>AG107*AI107*AJ107*AK107</f>
        <v>2848530.9263616</v>
      </c>
      <c r="AN107" s="128">
        <f>AH107*AI107*AJ107*AL107</f>
        <v>1694218.8054528</v>
      </c>
      <c r="AO107" s="93"/>
      <c r="AP107" s="107"/>
      <c r="AQ107" s="107"/>
      <c r="AR107" s="8"/>
    </row>
    <row r="108" spans="1:44" ht="80.25" customHeight="1" hidden="1">
      <c r="A108" s="35">
        <v>86</v>
      </c>
      <c r="B108" s="35" t="s">
        <v>2</v>
      </c>
      <c r="C108" s="35" t="s">
        <v>2</v>
      </c>
      <c r="D108" s="35">
        <v>4</v>
      </c>
      <c r="E108" s="35" t="s">
        <v>636</v>
      </c>
      <c r="F108" s="142" t="s">
        <v>644</v>
      </c>
      <c r="G108" s="69" t="s">
        <v>2493</v>
      </c>
      <c r="H108" s="35" t="s">
        <v>4166</v>
      </c>
      <c r="I108" s="35" t="s">
        <v>4127</v>
      </c>
      <c r="J108" s="139">
        <v>29104391</v>
      </c>
      <c r="K108" s="35" t="s">
        <v>2438</v>
      </c>
      <c r="L108" s="35">
        <v>3447000</v>
      </c>
      <c r="M108" s="35" t="s">
        <v>3735</v>
      </c>
      <c r="N108" s="35" t="s">
        <v>4181</v>
      </c>
      <c r="O108" s="35">
        <v>3428</v>
      </c>
      <c r="P108" s="140">
        <v>43073</v>
      </c>
      <c r="Q108" s="140">
        <v>46724</v>
      </c>
      <c r="R108" s="62" t="s">
        <v>2440</v>
      </c>
      <c r="S108" s="142" t="s">
        <v>2442</v>
      </c>
      <c r="T108" s="142" t="s">
        <v>2445</v>
      </c>
      <c r="U108" s="142" t="s">
        <v>3006</v>
      </c>
      <c r="V108" s="142" t="s">
        <v>3007</v>
      </c>
      <c r="W108" s="142">
        <v>2550</v>
      </c>
      <c r="X108" s="143">
        <v>105971.46</v>
      </c>
      <c r="Y108" s="143">
        <v>93873.76</v>
      </c>
      <c r="Z108" s="69" t="s">
        <v>4144</v>
      </c>
      <c r="AA108" s="207">
        <v>43739</v>
      </c>
      <c r="AB108" s="147" t="s">
        <v>2496</v>
      </c>
      <c r="AC108" s="69">
        <v>610</v>
      </c>
      <c r="AD108" s="82">
        <v>354</v>
      </c>
      <c r="AE108" s="82">
        <v>5.26</v>
      </c>
      <c r="AF108" s="82">
        <v>24</v>
      </c>
      <c r="AG108" s="198">
        <f>AE108*AC108*AF108*0.0036</f>
        <v>277.22303999999997</v>
      </c>
      <c r="AH108" s="198">
        <f>AE108*AD108*AF108*0.0036</f>
        <v>160.880256</v>
      </c>
      <c r="AI108" s="82">
        <v>30</v>
      </c>
      <c r="AJ108" s="82">
        <v>12</v>
      </c>
      <c r="AK108" s="82">
        <v>0.64</v>
      </c>
      <c r="AL108" s="82">
        <v>0.53</v>
      </c>
      <c r="AM108" s="145">
        <f>AG108*AI108*AJ108*AK108</f>
        <v>63872.18841599999</v>
      </c>
      <c r="AN108" s="146">
        <f>AH108*AI108*AJ108*AL108</f>
        <v>30695.952844800002</v>
      </c>
      <c r="AO108" s="82" t="s">
        <v>2495</v>
      </c>
      <c r="AP108" s="107"/>
      <c r="AQ108" s="107"/>
      <c r="AR108" s="8"/>
    </row>
    <row r="109" spans="1:44" ht="45.75" customHeight="1" hidden="1">
      <c r="A109" s="35">
        <v>87</v>
      </c>
      <c r="B109" s="35" t="s">
        <v>2</v>
      </c>
      <c r="C109" s="35" t="s">
        <v>2</v>
      </c>
      <c r="D109" s="35">
        <v>4</v>
      </c>
      <c r="E109" s="35" t="s">
        <v>637</v>
      </c>
      <c r="F109" s="142" t="s">
        <v>645</v>
      </c>
      <c r="G109" s="69" t="s">
        <v>2493</v>
      </c>
      <c r="H109" s="35" t="s">
        <v>4166</v>
      </c>
      <c r="I109" s="35" t="s">
        <v>4127</v>
      </c>
      <c r="J109" s="139">
        <v>29104391</v>
      </c>
      <c r="K109" s="35" t="s">
        <v>2438</v>
      </c>
      <c r="L109" s="35">
        <v>3447000</v>
      </c>
      <c r="M109" s="35" t="s">
        <v>3735</v>
      </c>
      <c r="N109" s="35" t="s">
        <v>4181</v>
      </c>
      <c r="O109" s="35">
        <v>3428</v>
      </c>
      <c r="P109" s="140">
        <v>43073</v>
      </c>
      <c r="Q109" s="140">
        <v>46724</v>
      </c>
      <c r="R109" s="62" t="s">
        <v>2440</v>
      </c>
      <c r="S109" s="142" t="s">
        <v>2442</v>
      </c>
      <c r="T109" s="35" t="s">
        <v>2443</v>
      </c>
      <c r="U109" s="142" t="s">
        <v>3008</v>
      </c>
      <c r="V109" s="142" t="s">
        <v>3009</v>
      </c>
      <c r="W109" s="142">
        <v>2549</v>
      </c>
      <c r="X109" s="143">
        <v>105967.77</v>
      </c>
      <c r="Y109" s="143">
        <v>93880.24</v>
      </c>
      <c r="Z109" s="69" t="s">
        <v>3938</v>
      </c>
      <c r="AA109" s="104"/>
      <c r="AB109" s="69"/>
      <c r="AC109" s="82"/>
      <c r="AD109" s="82"/>
      <c r="AE109" s="82"/>
      <c r="AF109" s="82"/>
      <c r="AG109" s="95"/>
      <c r="AH109" s="95"/>
      <c r="AI109" s="69"/>
      <c r="AJ109" s="35"/>
      <c r="AK109" s="69"/>
      <c r="AL109" s="69"/>
      <c r="AM109" s="145">
        <f aca="true" t="shared" si="4" ref="AM109:AM116">AG109*AI109*AJ109*AK109</f>
        <v>0</v>
      </c>
      <c r="AN109" s="146">
        <f aca="true" t="shared" si="5" ref="AN109:AN116">AH109*AI109*AJ109*AL109</f>
        <v>0</v>
      </c>
      <c r="AO109" s="82" t="s">
        <v>2495</v>
      </c>
      <c r="AP109" s="107"/>
      <c r="AQ109" s="107"/>
      <c r="AR109" s="8"/>
    </row>
    <row r="110" spans="1:44" ht="12.75" customHeight="1" hidden="1">
      <c r="A110" s="35">
        <v>88</v>
      </c>
      <c r="B110" s="35" t="s">
        <v>2</v>
      </c>
      <c r="C110" s="35" t="s">
        <v>2</v>
      </c>
      <c r="D110" s="35">
        <v>4</v>
      </c>
      <c r="E110" s="35" t="s">
        <v>638</v>
      </c>
      <c r="F110" s="142" t="s">
        <v>646</v>
      </c>
      <c r="G110" s="69" t="s">
        <v>2493</v>
      </c>
      <c r="H110" s="35" t="s">
        <v>4166</v>
      </c>
      <c r="I110" s="35" t="s">
        <v>4127</v>
      </c>
      <c r="J110" s="139">
        <v>29104391</v>
      </c>
      <c r="K110" s="35" t="s">
        <v>2438</v>
      </c>
      <c r="L110" s="35">
        <v>3447000</v>
      </c>
      <c r="M110" s="35" t="s">
        <v>3735</v>
      </c>
      <c r="N110" s="35" t="s">
        <v>4181</v>
      </c>
      <c r="O110" s="35">
        <v>3428</v>
      </c>
      <c r="P110" s="140">
        <v>43073</v>
      </c>
      <c r="Q110" s="140">
        <v>46724</v>
      </c>
      <c r="R110" s="62" t="s">
        <v>2440</v>
      </c>
      <c r="S110" s="142" t="s">
        <v>2442</v>
      </c>
      <c r="T110" s="35" t="s">
        <v>2443</v>
      </c>
      <c r="U110" s="142" t="s">
        <v>3010</v>
      </c>
      <c r="V110" s="142" t="s">
        <v>3011</v>
      </c>
      <c r="W110" s="142">
        <v>2549</v>
      </c>
      <c r="X110" s="143">
        <v>106028.31</v>
      </c>
      <c r="Y110" s="143">
        <v>93831.21</v>
      </c>
      <c r="Z110" s="69" t="s">
        <v>3938</v>
      </c>
      <c r="AA110" s="82"/>
      <c r="AB110" s="82"/>
      <c r="AC110" s="82"/>
      <c r="AD110" s="82"/>
      <c r="AE110" s="82"/>
      <c r="AF110" s="82"/>
      <c r="AG110" s="95"/>
      <c r="AH110" s="95"/>
      <c r="AI110" s="69"/>
      <c r="AJ110" s="35"/>
      <c r="AK110" s="66"/>
      <c r="AL110" s="66"/>
      <c r="AM110" s="145">
        <f t="shared" si="4"/>
        <v>0</v>
      </c>
      <c r="AN110" s="146">
        <f t="shared" si="5"/>
        <v>0</v>
      </c>
      <c r="AO110" s="69"/>
      <c r="AP110" s="8"/>
      <c r="AQ110" s="8"/>
      <c r="AR110" s="8"/>
    </row>
    <row r="111" spans="1:44" ht="25.5">
      <c r="A111" s="35">
        <v>89</v>
      </c>
      <c r="B111" s="35" t="s">
        <v>2</v>
      </c>
      <c r="C111" s="35" t="s">
        <v>2</v>
      </c>
      <c r="D111" s="35">
        <v>4</v>
      </c>
      <c r="E111" s="35" t="s">
        <v>639</v>
      </c>
      <c r="F111" s="142" t="s">
        <v>647</v>
      </c>
      <c r="G111" s="69" t="s">
        <v>2493</v>
      </c>
      <c r="H111" s="35" t="s">
        <v>4166</v>
      </c>
      <c r="I111" s="35" t="s">
        <v>4127</v>
      </c>
      <c r="J111" s="139">
        <v>29104391</v>
      </c>
      <c r="K111" s="35" t="s">
        <v>2438</v>
      </c>
      <c r="L111" s="35">
        <v>3447000</v>
      </c>
      <c r="M111" s="35" t="s">
        <v>3735</v>
      </c>
      <c r="N111" s="35" t="s">
        <v>4181</v>
      </c>
      <c r="O111" s="35">
        <v>3428</v>
      </c>
      <c r="P111" s="140">
        <v>43073</v>
      </c>
      <c r="Q111" s="140">
        <v>46724</v>
      </c>
      <c r="R111" s="62" t="s">
        <v>2440</v>
      </c>
      <c r="S111" s="62" t="s">
        <v>2441</v>
      </c>
      <c r="T111" s="35" t="s">
        <v>2443</v>
      </c>
      <c r="U111" s="142" t="s">
        <v>3012</v>
      </c>
      <c r="V111" s="142" t="s">
        <v>3013</v>
      </c>
      <c r="W111" s="142">
        <v>2549</v>
      </c>
      <c r="X111" s="143">
        <v>107494.11</v>
      </c>
      <c r="Y111" s="143">
        <v>93838.89</v>
      </c>
      <c r="Z111" s="69" t="s">
        <v>3744</v>
      </c>
      <c r="AA111" s="104">
        <v>43551</v>
      </c>
      <c r="AB111" s="69" t="s">
        <v>2531</v>
      </c>
      <c r="AC111" s="82">
        <v>184</v>
      </c>
      <c r="AD111" s="82">
        <v>138</v>
      </c>
      <c r="AE111" s="133">
        <f>((1.269+1.282+1.259+1.364+1.098)/5)</f>
        <v>1.2544</v>
      </c>
      <c r="AF111" s="82">
        <v>24</v>
      </c>
      <c r="AG111" s="143">
        <f>AE111*AC111*AF111*0.0036</f>
        <v>19.94194944</v>
      </c>
      <c r="AH111" s="143">
        <f>AE111*AD111*AF111*0.0036</f>
        <v>14.95646208</v>
      </c>
      <c r="AI111" s="69">
        <v>30</v>
      </c>
      <c r="AJ111" s="35">
        <v>12</v>
      </c>
      <c r="AK111" s="69">
        <v>0.75</v>
      </c>
      <c r="AL111" s="69">
        <v>0.59</v>
      </c>
      <c r="AM111" s="117">
        <f t="shared" si="4"/>
        <v>5384.3263488</v>
      </c>
      <c r="AN111" s="118">
        <f t="shared" si="5"/>
        <v>3176.752545792</v>
      </c>
      <c r="AO111" s="82" t="s">
        <v>2495</v>
      </c>
      <c r="AP111" s="107"/>
      <c r="AQ111" s="107"/>
      <c r="AR111" s="8"/>
    </row>
    <row r="112" spans="1:44" ht="25.5">
      <c r="A112" s="35">
        <v>90</v>
      </c>
      <c r="B112" s="35" t="s">
        <v>2</v>
      </c>
      <c r="C112" s="35" t="s">
        <v>2</v>
      </c>
      <c r="D112" s="35">
        <v>4</v>
      </c>
      <c r="E112" s="35" t="s">
        <v>640</v>
      </c>
      <c r="F112" s="142" t="s">
        <v>648</v>
      </c>
      <c r="G112" s="69" t="s">
        <v>2493</v>
      </c>
      <c r="H112" s="35" t="s">
        <v>4166</v>
      </c>
      <c r="I112" s="35" t="s">
        <v>4127</v>
      </c>
      <c r="J112" s="139">
        <v>29104391</v>
      </c>
      <c r="K112" s="35" t="s">
        <v>2438</v>
      </c>
      <c r="L112" s="35">
        <v>3447000</v>
      </c>
      <c r="M112" s="35" t="s">
        <v>3735</v>
      </c>
      <c r="N112" s="35" t="s">
        <v>4181</v>
      </c>
      <c r="O112" s="35">
        <v>3428</v>
      </c>
      <c r="P112" s="140">
        <v>43073</v>
      </c>
      <c r="Q112" s="140">
        <v>46724</v>
      </c>
      <c r="R112" s="62" t="s">
        <v>2440</v>
      </c>
      <c r="S112" s="142" t="s">
        <v>2442</v>
      </c>
      <c r="T112" s="35" t="s">
        <v>2443</v>
      </c>
      <c r="U112" s="142" t="s">
        <v>3014</v>
      </c>
      <c r="V112" s="142" t="s">
        <v>3015</v>
      </c>
      <c r="W112" s="142">
        <v>2549</v>
      </c>
      <c r="X112" s="143">
        <v>107721.5</v>
      </c>
      <c r="Y112" s="143">
        <v>93800.96</v>
      </c>
      <c r="Z112" s="69" t="s">
        <v>3744</v>
      </c>
      <c r="AA112" s="104">
        <v>43550</v>
      </c>
      <c r="AB112" s="69" t="s">
        <v>2535</v>
      </c>
      <c r="AC112" s="82">
        <v>264</v>
      </c>
      <c r="AD112" s="82">
        <v>161</v>
      </c>
      <c r="AE112" s="82">
        <f>((2.308+1.913+1.807+1.775+1.832)/5)</f>
        <v>1.9270000000000003</v>
      </c>
      <c r="AF112" s="82">
        <v>24</v>
      </c>
      <c r="AG112" s="143">
        <f>AE112*AC112*AF112*0.0036</f>
        <v>43.9540992</v>
      </c>
      <c r="AH112" s="143">
        <f>AE112*AD112*AF112*0.0036</f>
        <v>26.805340800000007</v>
      </c>
      <c r="AI112" s="69">
        <v>30</v>
      </c>
      <c r="AJ112" s="35">
        <v>12</v>
      </c>
      <c r="AK112" s="69">
        <v>0.69</v>
      </c>
      <c r="AL112" s="69">
        <v>0.54</v>
      </c>
      <c r="AM112" s="117">
        <f t="shared" si="4"/>
        <v>10918.19824128</v>
      </c>
      <c r="AN112" s="118">
        <f t="shared" si="5"/>
        <v>5210.958251520002</v>
      </c>
      <c r="AO112" s="82" t="s">
        <v>2495</v>
      </c>
      <c r="AP112" s="107"/>
      <c r="AQ112" s="107"/>
      <c r="AR112" s="8"/>
    </row>
    <row r="113" spans="1:44" ht="51">
      <c r="A113" s="35">
        <v>91</v>
      </c>
      <c r="B113" s="35" t="s">
        <v>2</v>
      </c>
      <c r="C113" s="35" t="s">
        <v>2</v>
      </c>
      <c r="D113" s="35">
        <v>4</v>
      </c>
      <c r="E113" s="35" t="s">
        <v>634</v>
      </c>
      <c r="F113" s="142" t="s">
        <v>649</v>
      </c>
      <c r="G113" s="69" t="s">
        <v>2493</v>
      </c>
      <c r="H113" s="35" t="s">
        <v>4166</v>
      </c>
      <c r="I113" s="35" t="s">
        <v>4127</v>
      </c>
      <c r="J113" s="139">
        <v>29104391</v>
      </c>
      <c r="K113" s="35" t="s">
        <v>2438</v>
      </c>
      <c r="L113" s="35">
        <v>3447000</v>
      </c>
      <c r="M113" s="35" t="s">
        <v>3735</v>
      </c>
      <c r="N113" s="35" t="s">
        <v>4181</v>
      </c>
      <c r="O113" s="35">
        <v>3428</v>
      </c>
      <c r="P113" s="140">
        <v>43073</v>
      </c>
      <c r="Q113" s="140">
        <v>46724</v>
      </c>
      <c r="R113" s="62" t="s">
        <v>2440</v>
      </c>
      <c r="S113" s="62" t="s">
        <v>2441</v>
      </c>
      <c r="T113" s="35" t="s">
        <v>2443</v>
      </c>
      <c r="U113" s="142" t="s">
        <v>3016</v>
      </c>
      <c r="V113" s="142" t="s">
        <v>3017</v>
      </c>
      <c r="W113" s="142">
        <v>2549</v>
      </c>
      <c r="X113" s="143">
        <v>106207.15</v>
      </c>
      <c r="Y113" s="143">
        <v>93786.19</v>
      </c>
      <c r="Z113" s="69" t="s">
        <v>3758</v>
      </c>
      <c r="AA113" s="104">
        <v>43550</v>
      </c>
      <c r="AB113" s="147">
        <v>0.642361111111111</v>
      </c>
      <c r="AC113" s="69"/>
      <c r="AD113" s="93"/>
      <c r="AE113" s="93"/>
      <c r="AF113" s="93"/>
      <c r="AG113" s="93"/>
      <c r="AH113" s="93"/>
      <c r="AI113" s="93"/>
      <c r="AJ113" s="93"/>
      <c r="AK113" s="93"/>
      <c r="AL113" s="93"/>
      <c r="AM113" s="117">
        <f t="shared" si="4"/>
        <v>0</v>
      </c>
      <c r="AN113" s="118">
        <f t="shared" si="5"/>
        <v>0</v>
      </c>
      <c r="AO113" s="82" t="s">
        <v>2495</v>
      </c>
      <c r="AP113" s="8"/>
      <c r="AQ113" s="8"/>
      <c r="AR113" s="8"/>
    </row>
    <row r="114" spans="1:44" ht="63.75">
      <c r="A114" s="69">
        <v>92</v>
      </c>
      <c r="B114" s="69" t="s">
        <v>2</v>
      </c>
      <c r="C114" s="69" t="s">
        <v>2</v>
      </c>
      <c r="D114" s="69">
        <v>4</v>
      </c>
      <c r="E114" s="69" t="s">
        <v>1869</v>
      </c>
      <c r="F114" s="69" t="s">
        <v>652</v>
      </c>
      <c r="G114" s="69" t="s">
        <v>2493</v>
      </c>
      <c r="H114" s="69" t="s">
        <v>4166</v>
      </c>
      <c r="I114" s="69" t="s">
        <v>4127</v>
      </c>
      <c r="J114" s="157">
        <v>29104391</v>
      </c>
      <c r="K114" s="69" t="s">
        <v>2438</v>
      </c>
      <c r="L114" s="69">
        <v>3447000</v>
      </c>
      <c r="M114" s="69" t="s">
        <v>3735</v>
      </c>
      <c r="N114" s="35" t="s">
        <v>4181</v>
      </c>
      <c r="O114" s="69">
        <v>3428</v>
      </c>
      <c r="P114" s="161">
        <v>43073</v>
      </c>
      <c r="Q114" s="161">
        <v>46724</v>
      </c>
      <c r="R114" s="69" t="s">
        <v>2440</v>
      </c>
      <c r="S114" s="69" t="s">
        <v>2441</v>
      </c>
      <c r="T114" s="69" t="s">
        <v>2443</v>
      </c>
      <c r="U114" s="142" t="s">
        <v>3018</v>
      </c>
      <c r="V114" s="142" t="s">
        <v>3019</v>
      </c>
      <c r="W114" s="142">
        <v>2549</v>
      </c>
      <c r="X114" s="95">
        <v>106260.62</v>
      </c>
      <c r="Y114" s="95">
        <v>93751.97</v>
      </c>
      <c r="Z114" s="69" t="s">
        <v>4154</v>
      </c>
      <c r="AA114" s="104">
        <v>43553</v>
      </c>
      <c r="AB114" s="147">
        <v>0.47430555555555554</v>
      </c>
      <c r="AC114" s="69"/>
      <c r="AD114" s="82"/>
      <c r="AE114" s="82"/>
      <c r="AF114" s="82"/>
      <c r="AG114" s="95"/>
      <c r="AH114" s="95"/>
      <c r="AI114" s="69"/>
      <c r="AJ114" s="69"/>
      <c r="AK114" s="69"/>
      <c r="AL114" s="69"/>
      <c r="AM114" s="117">
        <v>32758.23153972803</v>
      </c>
      <c r="AN114" s="117">
        <v>10348.929041217561</v>
      </c>
      <c r="AO114" s="82" t="s">
        <v>2495</v>
      </c>
      <c r="AP114" s="99"/>
      <c r="AQ114" s="108"/>
      <c r="AR114" s="8"/>
    </row>
    <row r="115" spans="1:44" ht="25.5">
      <c r="A115" s="35">
        <v>93</v>
      </c>
      <c r="B115" s="35" t="s">
        <v>2</v>
      </c>
      <c r="C115" s="35" t="s">
        <v>2</v>
      </c>
      <c r="D115" s="35">
        <v>4</v>
      </c>
      <c r="E115" s="35" t="s">
        <v>650</v>
      </c>
      <c r="F115" s="35" t="s">
        <v>653</v>
      </c>
      <c r="G115" s="69" t="s">
        <v>2493</v>
      </c>
      <c r="H115" s="35" t="s">
        <v>4166</v>
      </c>
      <c r="I115" s="35" t="s">
        <v>4127</v>
      </c>
      <c r="J115" s="139">
        <v>29104391</v>
      </c>
      <c r="K115" s="35" t="s">
        <v>2438</v>
      </c>
      <c r="L115" s="35">
        <v>3447000</v>
      </c>
      <c r="M115" s="35" t="s">
        <v>3735</v>
      </c>
      <c r="N115" s="35" t="s">
        <v>4181</v>
      </c>
      <c r="O115" s="35">
        <v>3428</v>
      </c>
      <c r="P115" s="140">
        <v>43073</v>
      </c>
      <c r="Q115" s="140">
        <v>46724</v>
      </c>
      <c r="R115" s="62" t="s">
        <v>2440</v>
      </c>
      <c r="S115" s="62" t="s">
        <v>2441</v>
      </c>
      <c r="T115" s="35" t="s">
        <v>2443</v>
      </c>
      <c r="U115" s="142" t="s">
        <v>3020</v>
      </c>
      <c r="V115" s="142" t="s">
        <v>3021</v>
      </c>
      <c r="W115" s="142">
        <v>2548</v>
      </c>
      <c r="X115" s="143">
        <v>106316.86</v>
      </c>
      <c r="Y115" s="143">
        <v>93714.66</v>
      </c>
      <c r="Z115" s="69" t="s">
        <v>3744</v>
      </c>
      <c r="AA115" s="104">
        <v>43551</v>
      </c>
      <c r="AB115" s="147" t="s">
        <v>3939</v>
      </c>
      <c r="AC115" s="82">
        <v>783</v>
      </c>
      <c r="AD115" s="82">
        <v>253</v>
      </c>
      <c r="AE115" s="133">
        <f>((0.805+0.688+0.959+0.633+1.051)/5)</f>
        <v>0.8272</v>
      </c>
      <c r="AF115" s="82">
        <v>24</v>
      </c>
      <c r="AG115" s="143">
        <f>AE115*AC115*AF115*0.0036</f>
        <v>55.96107264000001</v>
      </c>
      <c r="AH115" s="143">
        <f>AE115*AD115*AF115*0.0036</f>
        <v>18.081930240000002</v>
      </c>
      <c r="AI115" s="69">
        <v>30</v>
      </c>
      <c r="AJ115" s="35">
        <v>12</v>
      </c>
      <c r="AK115" s="69">
        <v>0.64</v>
      </c>
      <c r="AL115" s="69">
        <v>0.53</v>
      </c>
      <c r="AM115" s="117">
        <f t="shared" si="4"/>
        <v>12893.431136256002</v>
      </c>
      <c r="AN115" s="118">
        <f t="shared" si="5"/>
        <v>3450.032289792</v>
      </c>
      <c r="AO115" s="82" t="s">
        <v>2495</v>
      </c>
      <c r="AP115" s="99"/>
      <c r="AQ115" s="108"/>
      <c r="AR115" s="8"/>
    </row>
    <row r="116" spans="1:44" ht="25.5">
      <c r="A116" s="35">
        <v>94</v>
      </c>
      <c r="B116" s="35" t="s">
        <v>2</v>
      </c>
      <c r="C116" s="35" t="s">
        <v>2</v>
      </c>
      <c r="D116" s="35">
        <v>4</v>
      </c>
      <c r="E116" s="35" t="s">
        <v>651</v>
      </c>
      <c r="F116" s="35" t="s">
        <v>653</v>
      </c>
      <c r="G116" s="69" t="s">
        <v>2493</v>
      </c>
      <c r="H116" s="35" t="s">
        <v>4166</v>
      </c>
      <c r="I116" s="35" t="s">
        <v>4127</v>
      </c>
      <c r="J116" s="139">
        <v>29104391</v>
      </c>
      <c r="K116" s="35" t="s">
        <v>2438</v>
      </c>
      <c r="L116" s="35">
        <v>3447000</v>
      </c>
      <c r="M116" s="35" t="s">
        <v>3735</v>
      </c>
      <c r="N116" s="35" t="s">
        <v>4181</v>
      </c>
      <c r="O116" s="35">
        <v>3428</v>
      </c>
      <c r="P116" s="140">
        <v>43073</v>
      </c>
      <c r="Q116" s="140">
        <v>46724</v>
      </c>
      <c r="R116" s="62" t="s">
        <v>2440</v>
      </c>
      <c r="S116" s="62" t="s">
        <v>2441</v>
      </c>
      <c r="T116" s="35" t="s">
        <v>2443</v>
      </c>
      <c r="U116" s="142" t="s">
        <v>3022</v>
      </c>
      <c r="V116" s="142" t="s">
        <v>2345</v>
      </c>
      <c r="W116" s="142">
        <v>2548</v>
      </c>
      <c r="X116" s="143">
        <v>106329.15</v>
      </c>
      <c r="Y116" s="143">
        <v>93708.49</v>
      </c>
      <c r="Z116" s="69" t="s">
        <v>3744</v>
      </c>
      <c r="AA116" s="104">
        <v>43551</v>
      </c>
      <c r="AB116" s="147" t="s">
        <v>3940</v>
      </c>
      <c r="AC116" s="82">
        <v>360</v>
      </c>
      <c r="AD116" s="82">
        <v>390</v>
      </c>
      <c r="AE116" s="82">
        <f>((1.117+1.129+1.256+1.047+1.071)/5)</f>
        <v>1.1239999999999999</v>
      </c>
      <c r="AF116" s="82">
        <v>24</v>
      </c>
      <c r="AG116" s="143">
        <f>AE116*AC116*AF116*0.0036</f>
        <v>34.960896</v>
      </c>
      <c r="AH116" s="143">
        <f>AE116*AD116*AF116*0.0036</f>
        <v>37.874303999999995</v>
      </c>
      <c r="AI116" s="82">
        <v>30</v>
      </c>
      <c r="AJ116" s="82">
        <v>12</v>
      </c>
      <c r="AK116" s="69">
        <v>0.64</v>
      </c>
      <c r="AL116" s="69">
        <v>0.53</v>
      </c>
      <c r="AM116" s="117">
        <f t="shared" si="4"/>
        <v>8054.990438399999</v>
      </c>
      <c r="AN116" s="118">
        <f t="shared" si="5"/>
        <v>7226.417203200001</v>
      </c>
      <c r="AO116" s="82" t="s">
        <v>2495</v>
      </c>
      <c r="AP116" s="99"/>
      <c r="AQ116" s="108"/>
      <c r="AR116" s="8"/>
    </row>
    <row r="117" spans="1:44" ht="45" customHeight="1">
      <c r="A117" s="35">
        <v>95</v>
      </c>
      <c r="B117" s="35" t="s">
        <v>2</v>
      </c>
      <c r="C117" s="35" t="s">
        <v>2</v>
      </c>
      <c r="D117" s="35">
        <v>4</v>
      </c>
      <c r="E117" s="35" t="s">
        <v>654</v>
      </c>
      <c r="F117" s="142" t="s">
        <v>653</v>
      </c>
      <c r="G117" s="69" t="s">
        <v>2490</v>
      </c>
      <c r="H117" s="35" t="s">
        <v>4166</v>
      </c>
      <c r="I117" s="35" t="s">
        <v>4127</v>
      </c>
      <c r="J117" s="139">
        <v>29104391</v>
      </c>
      <c r="K117" s="35" t="s">
        <v>2438</v>
      </c>
      <c r="L117" s="35">
        <v>3447000</v>
      </c>
      <c r="M117" s="35" t="s">
        <v>3735</v>
      </c>
      <c r="N117" s="35" t="s">
        <v>4181</v>
      </c>
      <c r="O117" s="35">
        <v>3428</v>
      </c>
      <c r="P117" s="140">
        <v>43073</v>
      </c>
      <c r="Q117" s="140">
        <v>46724</v>
      </c>
      <c r="R117" s="62" t="s">
        <v>2440</v>
      </c>
      <c r="S117" s="142" t="s">
        <v>2442</v>
      </c>
      <c r="T117" s="35" t="s">
        <v>2443</v>
      </c>
      <c r="U117" s="142" t="s">
        <v>3023</v>
      </c>
      <c r="V117" s="142" t="s">
        <v>2346</v>
      </c>
      <c r="W117" s="142">
        <v>2548</v>
      </c>
      <c r="X117" s="143">
        <v>106323.31</v>
      </c>
      <c r="Y117" s="143">
        <v>93689.37</v>
      </c>
      <c r="Z117" s="2" t="s">
        <v>4046</v>
      </c>
      <c r="AA117" s="104"/>
      <c r="AB117" s="135"/>
      <c r="AC117" s="82"/>
      <c r="AD117" s="82"/>
      <c r="AE117" s="82"/>
      <c r="AF117" s="82"/>
      <c r="AG117" s="143"/>
      <c r="AH117" s="143"/>
      <c r="AI117" s="69"/>
      <c r="AJ117" s="35"/>
      <c r="AK117" s="82"/>
      <c r="AL117" s="82"/>
      <c r="AM117" s="117">
        <f>AVERAGE(AM118:AM119)</f>
        <v>3913356.1008925447</v>
      </c>
      <c r="AN117" s="117">
        <f>AVERAGE(AN118:AN119)</f>
        <v>2296862.2866124804</v>
      </c>
      <c r="AO117" s="82" t="s">
        <v>2456</v>
      </c>
      <c r="AP117" s="99"/>
      <c r="AQ117" s="99"/>
      <c r="AR117" s="8"/>
    </row>
    <row r="118" spans="1:44" ht="45" customHeight="1" hidden="1">
      <c r="A118" s="35"/>
      <c r="B118" s="35"/>
      <c r="C118" s="35"/>
      <c r="D118" s="35"/>
      <c r="E118" s="35"/>
      <c r="F118" s="142"/>
      <c r="G118" s="69"/>
      <c r="H118" s="35"/>
      <c r="I118" s="35"/>
      <c r="J118" s="139"/>
      <c r="K118" s="35"/>
      <c r="L118" s="35"/>
      <c r="M118" s="35"/>
      <c r="N118" s="35" t="s">
        <v>4181</v>
      </c>
      <c r="O118" s="35"/>
      <c r="P118" s="140"/>
      <c r="Q118" s="140"/>
      <c r="R118" s="62"/>
      <c r="S118" s="142"/>
      <c r="T118" s="35"/>
      <c r="U118" s="142"/>
      <c r="V118" s="142"/>
      <c r="W118" s="142"/>
      <c r="X118" s="143"/>
      <c r="Y118" s="143"/>
      <c r="Z118" s="69" t="s">
        <v>3744</v>
      </c>
      <c r="AA118" s="104">
        <v>43551</v>
      </c>
      <c r="AB118" s="135" t="s">
        <v>3897</v>
      </c>
      <c r="AC118" s="82">
        <v>1371</v>
      </c>
      <c r="AD118" s="82">
        <v>590</v>
      </c>
      <c r="AE118" s="133">
        <f>((196.146+198.899+207.156+218.156+182.384)/5)</f>
        <v>200.5482</v>
      </c>
      <c r="AF118" s="82">
        <v>24</v>
      </c>
      <c r="AG118" s="143">
        <f>AE118*AC118*AF118*0.0036</f>
        <v>23755.81670208</v>
      </c>
      <c r="AH118" s="143">
        <f>AE118*AD118*AF118*0.0036</f>
        <v>10223.1450432</v>
      </c>
      <c r="AI118" s="69">
        <v>30</v>
      </c>
      <c r="AJ118" s="35">
        <v>12</v>
      </c>
      <c r="AK118" s="82">
        <v>0.51</v>
      </c>
      <c r="AL118" s="82">
        <v>0.48</v>
      </c>
      <c r="AM118" s="127">
        <f>AG118*AI118*AJ118*AK118</f>
        <v>4361567.946501888</v>
      </c>
      <c r="AN118" s="128">
        <f>AH118*AI118*AJ118*AL118</f>
        <v>1766559.46346496</v>
      </c>
      <c r="AO118" s="82" t="s">
        <v>2456</v>
      </c>
      <c r="AP118" s="99"/>
      <c r="AQ118" s="99"/>
      <c r="AR118" s="8"/>
    </row>
    <row r="119" spans="1:44" ht="55.5" customHeight="1" hidden="1">
      <c r="A119" s="35"/>
      <c r="B119" s="35"/>
      <c r="C119" s="35"/>
      <c r="D119" s="35"/>
      <c r="E119" s="35"/>
      <c r="F119" s="142"/>
      <c r="G119" s="69"/>
      <c r="H119" s="35"/>
      <c r="I119" s="35"/>
      <c r="J119" s="139"/>
      <c r="K119" s="35"/>
      <c r="L119" s="35"/>
      <c r="M119" s="35"/>
      <c r="N119" s="35" t="s">
        <v>4181</v>
      </c>
      <c r="O119" s="35"/>
      <c r="P119" s="140"/>
      <c r="Q119" s="140"/>
      <c r="R119" s="62"/>
      <c r="S119" s="142"/>
      <c r="T119" s="35"/>
      <c r="U119" s="142"/>
      <c r="V119" s="142"/>
      <c r="W119" s="142"/>
      <c r="X119" s="143"/>
      <c r="Y119" s="143"/>
      <c r="Z119" s="69" t="s">
        <v>4010</v>
      </c>
      <c r="AA119" s="104">
        <v>43614</v>
      </c>
      <c r="AB119" s="135" t="s">
        <v>2460</v>
      </c>
      <c r="AC119" s="82">
        <v>336</v>
      </c>
      <c r="AD119" s="82">
        <v>300</v>
      </c>
      <c r="AE119" s="82">
        <v>571.6600000000001</v>
      </c>
      <c r="AF119" s="82">
        <v>24</v>
      </c>
      <c r="AG119" s="143">
        <f>AE119*AC119*AF119*0.0036</f>
        <v>16595.518464000004</v>
      </c>
      <c r="AH119" s="143">
        <f>AE119*AD119*AF119*0.0036</f>
        <v>14817.427200000004</v>
      </c>
      <c r="AI119" s="69">
        <v>30</v>
      </c>
      <c r="AJ119" s="35">
        <v>12</v>
      </c>
      <c r="AK119" s="82">
        <v>0.58</v>
      </c>
      <c r="AL119" s="82">
        <v>0.53</v>
      </c>
      <c r="AM119" s="127">
        <f>AG119*AI119*AJ119*AK119</f>
        <v>3465144.255283201</v>
      </c>
      <c r="AN119" s="128">
        <f>AH119*AI119*AJ119*AL119</f>
        <v>2827165.109760001</v>
      </c>
      <c r="AO119" s="82"/>
      <c r="AP119" s="99"/>
      <c r="AQ119" s="99"/>
      <c r="AR119" s="8"/>
    </row>
    <row r="120" spans="1:44" ht="38.25" customHeight="1">
      <c r="A120" s="35">
        <v>96</v>
      </c>
      <c r="B120" s="35" t="s">
        <v>2</v>
      </c>
      <c r="C120" s="35" t="s">
        <v>2</v>
      </c>
      <c r="D120" s="35">
        <v>4</v>
      </c>
      <c r="E120" s="35" t="s">
        <v>655</v>
      </c>
      <c r="F120" s="142" t="s">
        <v>666</v>
      </c>
      <c r="G120" s="69" t="s">
        <v>2493</v>
      </c>
      <c r="H120" s="35" t="s">
        <v>4166</v>
      </c>
      <c r="I120" s="35" t="s">
        <v>4127</v>
      </c>
      <c r="J120" s="139">
        <v>29104391</v>
      </c>
      <c r="K120" s="35" t="s">
        <v>2438</v>
      </c>
      <c r="L120" s="35">
        <v>3447000</v>
      </c>
      <c r="M120" s="35" t="s">
        <v>3735</v>
      </c>
      <c r="N120" s="35" t="s">
        <v>4181</v>
      </c>
      <c r="O120" s="35">
        <v>3428</v>
      </c>
      <c r="P120" s="140">
        <v>43073</v>
      </c>
      <c r="Q120" s="140">
        <v>46724</v>
      </c>
      <c r="R120" s="62" t="s">
        <v>2440</v>
      </c>
      <c r="S120" s="62" t="s">
        <v>2441</v>
      </c>
      <c r="T120" s="142" t="s">
        <v>2444</v>
      </c>
      <c r="U120" s="142" t="s">
        <v>3024</v>
      </c>
      <c r="V120" s="142" t="s">
        <v>1870</v>
      </c>
      <c r="W120" s="142">
        <v>2548</v>
      </c>
      <c r="X120" s="143">
        <v>106337.14</v>
      </c>
      <c r="Y120" s="143">
        <v>93703.87</v>
      </c>
      <c r="Z120" s="69" t="s">
        <v>3950</v>
      </c>
      <c r="AA120" s="104">
        <v>43551</v>
      </c>
      <c r="AB120" s="147">
        <v>0.5833333333333334</v>
      </c>
      <c r="AC120" s="69"/>
      <c r="AD120" s="93"/>
      <c r="AE120" s="93"/>
      <c r="AF120" s="93"/>
      <c r="AG120" s="93"/>
      <c r="AH120" s="93"/>
      <c r="AI120" s="93"/>
      <c r="AJ120" s="93"/>
      <c r="AK120" s="93"/>
      <c r="AL120" s="93"/>
      <c r="AM120" s="117">
        <f>AG120*AI120*AJ120*AK120</f>
        <v>0</v>
      </c>
      <c r="AN120" s="118">
        <f>AH120*AI120*AJ120*AL120</f>
        <v>0</v>
      </c>
      <c r="AO120" s="82" t="s">
        <v>2456</v>
      </c>
      <c r="AP120" s="99"/>
      <c r="AQ120" s="99"/>
      <c r="AR120" s="8"/>
    </row>
    <row r="121" spans="1:44" ht="25.5" hidden="1">
      <c r="A121" s="35">
        <v>97</v>
      </c>
      <c r="B121" s="35" t="s">
        <v>2</v>
      </c>
      <c r="C121" s="35" t="s">
        <v>2</v>
      </c>
      <c r="D121" s="35">
        <v>4</v>
      </c>
      <c r="E121" s="35" t="s">
        <v>656</v>
      </c>
      <c r="F121" s="142" t="s">
        <v>667</v>
      </c>
      <c r="G121" s="69" t="s">
        <v>2493</v>
      </c>
      <c r="H121" s="35" t="s">
        <v>4166</v>
      </c>
      <c r="I121" s="35" t="s">
        <v>4127</v>
      </c>
      <c r="J121" s="139">
        <v>29104391</v>
      </c>
      <c r="K121" s="35" t="s">
        <v>2438</v>
      </c>
      <c r="L121" s="35">
        <v>3447000</v>
      </c>
      <c r="M121" s="35" t="s">
        <v>3735</v>
      </c>
      <c r="N121" s="35" t="s">
        <v>4181</v>
      </c>
      <c r="O121" s="35">
        <v>3428</v>
      </c>
      <c r="P121" s="140">
        <v>43073</v>
      </c>
      <c r="Q121" s="140">
        <v>46724</v>
      </c>
      <c r="R121" s="62" t="s">
        <v>2440</v>
      </c>
      <c r="S121" s="62" t="s">
        <v>2441</v>
      </c>
      <c r="T121" s="142" t="s">
        <v>2445</v>
      </c>
      <c r="U121" s="142" t="s">
        <v>3025</v>
      </c>
      <c r="V121" s="142" t="s">
        <v>1871</v>
      </c>
      <c r="W121" s="142">
        <v>2548</v>
      </c>
      <c r="X121" s="82">
        <v>106523.363</v>
      </c>
      <c r="Y121" s="82">
        <v>93649.293</v>
      </c>
      <c r="Z121" s="69" t="s">
        <v>3741</v>
      </c>
      <c r="AA121" s="82"/>
      <c r="AB121" s="82"/>
      <c r="AC121" s="82"/>
      <c r="AD121" s="82"/>
      <c r="AE121" s="82"/>
      <c r="AF121" s="82"/>
      <c r="AG121" s="95"/>
      <c r="AH121" s="95"/>
      <c r="AI121" s="69"/>
      <c r="AJ121" s="35"/>
      <c r="AK121" s="66"/>
      <c r="AL121" s="66"/>
      <c r="AM121" s="145">
        <f>AG121*AI121*AJ121*AK121</f>
        <v>0</v>
      </c>
      <c r="AN121" s="146">
        <f>AH121*AI121*AJ121*AL121</f>
        <v>0</v>
      </c>
      <c r="AO121" s="69"/>
      <c r="AP121" s="99"/>
      <c r="AQ121" s="108"/>
      <c r="AR121" s="8"/>
    </row>
    <row r="122" spans="1:44" ht="57.75" customHeight="1">
      <c r="A122" s="35">
        <v>98</v>
      </c>
      <c r="B122" s="35" t="s">
        <v>2</v>
      </c>
      <c r="C122" s="35" t="s">
        <v>2</v>
      </c>
      <c r="D122" s="35">
        <v>4</v>
      </c>
      <c r="E122" s="35" t="s">
        <v>657</v>
      </c>
      <c r="F122" s="142" t="s">
        <v>668</v>
      </c>
      <c r="G122" s="69" t="s">
        <v>2493</v>
      </c>
      <c r="H122" s="35" t="s">
        <v>4166</v>
      </c>
      <c r="I122" s="35" t="s">
        <v>4127</v>
      </c>
      <c r="J122" s="139">
        <v>29104391</v>
      </c>
      <c r="K122" s="35" t="s">
        <v>2438</v>
      </c>
      <c r="L122" s="35">
        <v>3447000</v>
      </c>
      <c r="M122" s="35" t="s">
        <v>3735</v>
      </c>
      <c r="N122" s="35" t="s">
        <v>4181</v>
      </c>
      <c r="O122" s="35">
        <v>3428</v>
      </c>
      <c r="P122" s="140">
        <v>43073</v>
      </c>
      <c r="Q122" s="140">
        <v>46724</v>
      </c>
      <c r="R122" s="62" t="s">
        <v>2440</v>
      </c>
      <c r="S122" s="62" t="s">
        <v>2441</v>
      </c>
      <c r="T122" s="35" t="s">
        <v>2443</v>
      </c>
      <c r="U122" s="142" t="s">
        <v>3026</v>
      </c>
      <c r="V122" s="142" t="s">
        <v>1872</v>
      </c>
      <c r="W122" s="142">
        <v>2548</v>
      </c>
      <c r="X122" s="143">
        <v>106801.15</v>
      </c>
      <c r="Y122" s="143">
        <v>93473.84</v>
      </c>
      <c r="Z122" s="69" t="s">
        <v>3744</v>
      </c>
      <c r="AA122" s="104">
        <v>43553</v>
      </c>
      <c r="AB122" s="135">
        <v>0.5006944444444444</v>
      </c>
      <c r="AC122" s="69"/>
      <c r="AD122" s="93"/>
      <c r="AE122" s="93"/>
      <c r="AF122" s="93"/>
      <c r="AG122" s="93"/>
      <c r="AH122" s="93"/>
      <c r="AI122" s="93"/>
      <c r="AJ122" s="93"/>
      <c r="AK122" s="93"/>
      <c r="AL122" s="93"/>
      <c r="AM122" s="117">
        <f>AG122*AI122*AJ122*AK122</f>
        <v>0</v>
      </c>
      <c r="AN122" s="118">
        <f>AH122*AI122*AJ122*AL122</f>
        <v>0</v>
      </c>
      <c r="AO122" s="82" t="s">
        <v>2495</v>
      </c>
      <c r="AP122" s="8"/>
      <c r="AQ122" s="8"/>
      <c r="AR122" s="8"/>
    </row>
    <row r="123" spans="1:44" ht="73.5" customHeight="1">
      <c r="A123" s="35">
        <v>99</v>
      </c>
      <c r="B123" s="35" t="s">
        <v>2</v>
      </c>
      <c r="C123" s="35" t="s">
        <v>2</v>
      </c>
      <c r="D123" s="35">
        <v>4</v>
      </c>
      <c r="E123" s="35" t="s">
        <v>658</v>
      </c>
      <c r="F123" s="142" t="s">
        <v>669</v>
      </c>
      <c r="G123" s="69" t="s">
        <v>2493</v>
      </c>
      <c r="H123" s="35" t="s">
        <v>4166</v>
      </c>
      <c r="I123" s="35" t="s">
        <v>4127</v>
      </c>
      <c r="J123" s="139">
        <v>29104391</v>
      </c>
      <c r="K123" s="35" t="s">
        <v>2438</v>
      </c>
      <c r="L123" s="35">
        <v>3447000</v>
      </c>
      <c r="M123" s="35" t="s">
        <v>3735</v>
      </c>
      <c r="N123" s="35" t="s">
        <v>4181</v>
      </c>
      <c r="O123" s="35">
        <v>3428</v>
      </c>
      <c r="P123" s="140">
        <v>43073</v>
      </c>
      <c r="Q123" s="140">
        <v>46724</v>
      </c>
      <c r="R123" s="62" t="s">
        <v>2440</v>
      </c>
      <c r="S123" s="62" t="s">
        <v>2441</v>
      </c>
      <c r="T123" s="35" t="s">
        <v>2443</v>
      </c>
      <c r="U123" s="142" t="s">
        <v>3027</v>
      </c>
      <c r="V123" s="142" t="s">
        <v>1873</v>
      </c>
      <c r="W123" s="142">
        <v>2548</v>
      </c>
      <c r="X123" s="143">
        <v>106716.34</v>
      </c>
      <c r="Y123" s="143">
        <v>93538.9</v>
      </c>
      <c r="Z123" s="69" t="s">
        <v>3933</v>
      </c>
      <c r="AA123" s="174" t="s">
        <v>3896</v>
      </c>
      <c r="AB123" s="174" t="s">
        <v>3896</v>
      </c>
      <c r="AC123" s="82"/>
      <c r="AD123" s="82"/>
      <c r="AE123" s="82"/>
      <c r="AF123" s="82"/>
      <c r="AG123" s="95"/>
      <c r="AH123" s="95"/>
      <c r="AI123" s="69"/>
      <c r="AJ123" s="35"/>
      <c r="AK123" s="66"/>
      <c r="AL123" s="66"/>
      <c r="AM123" s="117">
        <v>2347.8129539860697</v>
      </c>
      <c r="AN123" s="118">
        <v>3053.929647224615</v>
      </c>
      <c r="AO123" s="82" t="s">
        <v>2495</v>
      </c>
      <c r="AP123" s="107"/>
      <c r="AQ123" s="107"/>
      <c r="AR123" s="8"/>
    </row>
    <row r="124" spans="1:44" ht="80.25" customHeight="1">
      <c r="A124" s="35">
        <v>100</v>
      </c>
      <c r="B124" s="35" t="s">
        <v>2</v>
      </c>
      <c r="C124" s="35" t="s">
        <v>2</v>
      </c>
      <c r="D124" s="35">
        <v>4</v>
      </c>
      <c r="E124" s="35" t="s">
        <v>659</v>
      </c>
      <c r="F124" s="142" t="s">
        <v>670</v>
      </c>
      <c r="G124" s="69" t="s">
        <v>2493</v>
      </c>
      <c r="H124" s="35" t="s">
        <v>4166</v>
      </c>
      <c r="I124" s="35" t="s">
        <v>4127</v>
      </c>
      <c r="J124" s="139">
        <v>29104391</v>
      </c>
      <c r="K124" s="35" t="s">
        <v>2438</v>
      </c>
      <c r="L124" s="35">
        <v>3447000</v>
      </c>
      <c r="M124" s="35" t="s">
        <v>3735</v>
      </c>
      <c r="N124" s="35" t="s">
        <v>4181</v>
      </c>
      <c r="O124" s="35">
        <v>3428</v>
      </c>
      <c r="P124" s="140">
        <v>43073</v>
      </c>
      <c r="Q124" s="140">
        <v>46724</v>
      </c>
      <c r="R124" s="62" t="s">
        <v>2440</v>
      </c>
      <c r="S124" s="62" t="s">
        <v>2441</v>
      </c>
      <c r="T124" s="35" t="s">
        <v>2443</v>
      </c>
      <c r="U124" s="142" t="s">
        <v>3028</v>
      </c>
      <c r="V124" s="142" t="s">
        <v>1874</v>
      </c>
      <c r="W124" s="142">
        <v>2549</v>
      </c>
      <c r="X124" s="143">
        <v>106837.41</v>
      </c>
      <c r="Y124" s="143">
        <v>93413.72</v>
      </c>
      <c r="Z124" s="69" t="s">
        <v>3933</v>
      </c>
      <c r="AA124" s="104">
        <v>43553</v>
      </c>
      <c r="AB124" s="147">
        <v>0.48125</v>
      </c>
      <c r="AC124" s="93"/>
      <c r="AD124" s="93"/>
      <c r="AE124" s="93"/>
      <c r="AF124" s="93"/>
      <c r="AG124" s="93"/>
      <c r="AH124" s="93"/>
      <c r="AI124" s="93"/>
      <c r="AJ124" s="93"/>
      <c r="AK124" s="93"/>
      <c r="AL124" s="93"/>
      <c r="AM124" s="117">
        <v>8174.851170277035</v>
      </c>
      <c r="AN124" s="118">
        <v>6395.586972221951</v>
      </c>
      <c r="AO124" s="82" t="s">
        <v>2495</v>
      </c>
      <c r="AP124" s="107"/>
      <c r="AQ124" s="107"/>
      <c r="AR124" s="8"/>
    </row>
    <row r="125" spans="1:44" ht="49.5" customHeight="1">
      <c r="A125" s="35">
        <v>101</v>
      </c>
      <c r="B125" s="35" t="s">
        <v>2</v>
      </c>
      <c r="C125" s="35" t="s">
        <v>2</v>
      </c>
      <c r="D125" s="35">
        <v>4</v>
      </c>
      <c r="E125" s="35" t="s">
        <v>660</v>
      </c>
      <c r="F125" s="142" t="s">
        <v>671</v>
      </c>
      <c r="G125" s="142" t="s">
        <v>2490</v>
      </c>
      <c r="H125" s="35" t="s">
        <v>4166</v>
      </c>
      <c r="I125" s="35" t="s">
        <v>4127</v>
      </c>
      <c r="J125" s="139">
        <v>29104391</v>
      </c>
      <c r="K125" s="35" t="s">
        <v>2438</v>
      </c>
      <c r="L125" s="35">
        <v>3447000</v>
      </c>
      <c r="M125" s="35" t="s">
        <v>3735</v>
      </c>
      <c r="N125" s="35" t="s">
        <v>4181</v>
      </c>
      <c r="O125" s="35">
        <v>3428</v>
      </c>
      <c r="P125" s="140">
        <v>43073</v>
      </c>
      <c r="Q125" s="140">
        <v>46724</v>
      </c>
      <c r="R125" s="62" t="s">
        <v>2440</v>
      </c>
      <c r="S125" s="142" t="s">
        <v>2442</v>
      </c>
      <c r="T125" s="35" t="s">
        <v>2443</v>
      </c>
      <c r="U125" s="142" t="s">
        <v>3029</v>
      </c>
      <c r="V125" s="142" t="s">
        <v>1875</v>
      </c>
      <c r="W125" s="142">
        <v>2549</v>
      </c>
      <c r="X125" s="143">
        <v>106909.62</v>
      </c>
      <c r="Y125" s="143">
        <v>93351.13</v>
      </c>
      <c r="Z125" s="69" t="s">
        <v>3744</v>
      </c>
      <c r="AA125" s="104">
        <v>43598</v>
      </c>
      <c r="AB125" s="147">
        <v>0.4611111111111111</v>
      </c>
      <c r="AC125" s="69"/>
      <c r="AD125" s="93"/>
      <c r="AE125" s="93"/>
      <c r="AF125" s="93"/>
      <c r="AG125" s="93"/>
      <c r="AH125" s="93"/>
      <c r="AI125" s="93"/>
      <c r="AJ125" s="93"/>
      <c r="AK125" s="93"/>
      <c r="AL125" s="93"/>
      <c r="AM125" s="117">
        <f>AG125*AI125*AJ125*AK125</f>
        <v>0</v>
      </c>
      <c r="AN125" s="118">
        <f>AH125*AI125*AJ125*AL125</f>
        <v>0</v>
      </c>
      <c r="AO125" s="82" t="s">
        <v>2495</v>
      </c>
      <c r="AP125" s="107"/>
      <c r="AQ125" s="107"/>
      <c r="AR125" s="8"/>
    </row>
    <row r="126" spans="1:44" ht="40.5" customHeight="1">
      <c r="A126" s="35">
        <v>102</v>
      </c>
      <c r="B126" s="35" t="s">
        <v>2</v>
      </c>
      <c r="C126" s="35" t="s">
        <v>2</v>
      </c>
      <c r="D126" s="35">
        <v>4</v>
      </c>
      <c r="E126" s="35" t="s">
        <v>661</v>
      </c>
      <c r="F126" s="142" t="s">
        <v>672</v>
      </c>
      <c r="G126" s="69" t="s">
        <v>2493</v>
      </c>
      <c r="H126" s="35" t="s">
        <v>4166</v>
      </c>
      <c r="I126" s="35" t="s">
        <v>4127</v>
      </c>
      <c r="J126" s="139">
        <v>29104391</v>
      </c>
      <c r="K126" s="35" t="s">
        <v>2438</v>
      </c>
      <c r="L126" s="35">
        <v>3447000</v>
      </c>
      <c r="M126" s="35" t="s">
        <v>3735</v>
      </c>
      <c r="N126" s="35" t="s">
        <v>4181</v>
      </c>
      <c r="O126" s="35">
        <v>3428</v>
      </c>
      <c r="P126" s="140">
        <v>43073</v>
      </c>
      <c r="Q126" s="140">
        <v>46724</v>
      </c>
      <c r="R126" s="62" t="s">
        <v>2440</v>
      </c>
      <c r="S126" s="62" t="s">
        <v>2441</v>
      </c>
      <c r="T126" s="35" t="s">
        <v>2443</v>
      </c>
      <c r="U126" s="142" t="s">
        <v>3030</v>
      </c>
      <c r="V126" s="142" t="s">
        <v>1876</v>
      </c>
      <c r="W126" s="142">
        <v>2548</v>
      </c>
      <c r="X126" s="143">
        <v>106986.75</v>
      </c>
      <c r="Y126" s="143">
        <v>93350.82</v>
      </c>
      <c r="Z126" s="69" t="s">
        <v>3744</v>
      </c>
      <c r="AA126" s="104">
        <v>43553</v>
      </c>
      <c r="AB126" s="147">
        <v>0.49513888888888885</v>
      </c>
      <c r="AC126" s="69"/>
      <c r="AD126" s="93"/>
      <c r="AE126" s="93"/>
      <c r="AF126" s="93"/>
      <c r="AG126" s="93"/>
      <c r="AH126" s="93"/>
      <c r="AI126" s="93"/>
      <c r="AJ126" s="93"/>
      <c r="AK126" s="93"/>
      <c r="AL126" s="93"/>
      <c r="AM126" s="117">
        <f>AG126*AI126*AJ126*AK126</f>
        <v>0</v>
      </c>
      <c r="AN126" s="118">
        <f>AH126*AI126*AJ126*AL126</f>
        <v>0</v>
      </c>
      <c r="AO126" s="82" t="s">
        <v>2495</v>
      </c>
      <c r="AP126" s="106"/>
      <c r="AQ126" s="106"/>
      <c r="AR126" s="8"/>
    </row>
    <row r="127" spans="1:44" ht="43.5" customHeight="1">
      <c r="A127" s="35">
        <v>103</v>
      </c>
      <c r="B127" s="35" t="s">
        <v>2</v>
      </c>
      <c r="C127" s="35" t="s">
        <v>2</v>
      </c>
      <c r="D127" s="35">
        <v>4</v>
      </c>
      <c r="E127" s="35" t="s">
        <v>662</v>
      </c>
      <c r="F127" s="142" t="s">
        <v>670</v>
      </c>
      <c r="G127" s="69" t="s">
        <v>2493</v>
      </c>
      <c r="H127" s="35" t="s">
        <v>4166</v>
      </c>
      <c r="I127" s="35" t="s">
        <v>4127</v>
      </c>
      <c r="J127" s="139">
        <v>29104391</v>
      </c>
      <c r="K127" s="35" t="s">
        <v>2438</v>
      </c>
      <c r="L127" s="35">
        <v>3447000</v>
      </c>
      <c r="M127" s="35" t="s">
        <v>3735</v>
      </c>
      <c r="N127" s="35" t="s">
        <v>4181</v>
      </c>
      <c r="O127" s="35">
        <v>3428</v>
      </c>
      <c r="P127" s="140">
        <v>43073</v>
      </c>
      <c r="Q127" s="140">
        <v>46724</v>
      </c>
      <c r="R127" s="62" t="s">
        <v>2440</v>
      </c>
      <c r="S127" s="62" t="s">
        <v>2441</v>
      </c>
      <c r="T127" s="35" t="s">
        <v>2443</v>
      </c>
      <c r="U127" s="142" t="s">
        <v>664</v>
      </c>
      <c r="V127" s="142" t="s">
        <v>1877</v>
      </c>
      <c r="W127" s="142">
        <v>2548</v>
      </c>
      <c r="X127" s="143">
        <v>106990.13</v>
      </c>
      <c r="Y127" s="143">
        <v>93346.5</v>
      </c>
      <c r="Z127" s="69" t="s">
        <v>4155</v>
      </c>
      <c r="AA127" s="104">
        <v>43553</v>
      </c>
      <c r="AB127" s="147">
        <v>0.4486111111111111</v>
      </c>
      <c r="AC127" s="69"/>
      <c r="AD127" s="93"/>
      <c r="AE127" s="93"/>
      <c r="AF127" s="93"/>
      <c r="AG127" s="93"/>
      <c r="AH127" s="93"/>
      <c r="AI127" s="93"/>
      <c r="AJ127" s="93"/>
      <c r="AK127" s="93"/>
      <c r="AL127" s="93"/>
      <c r="AM127" s="117">
        <v>1819.7441030601783</v>
      </c>
      <c r="AN127" s="118">
        <v>1076.5247670385359</v>
      </c>
      <c r="AO127" s="82" t="s">
        <v>2495</v>
      </c>
      <c r="AP127" s="107"/>
      <c r="AQ127" s="107"/>
      <c r="AR127" s="8"/>
    </row>
    <row r="128" spans="1:44" ht="42.75" customHeight="1">
      <c r="A128" s="35">
        <v>104</v>
      </c>
      <c r="B128" s="35" t="s">
        <v>2</v>
      </c>
      <c r="C128" s="35" t="s">
        <v>2</v>
      </c>
      <c r="D128" s="35">
        <v>4</v>
      </c>
      <c r="E128" s="35" t="s">
        <v>663</v>
      </c>
      <c r="F128" s="142" t="s">
        <v>673</v>
      </c>
      <c r="G128" s="142" t="s">
        <v>2490</v>
      </c>
      <c r="H128" s="35" t="s">
        <v>4166</v>
      </c>
      <c r="I128" s="35" t="s">
        <v>4127</v>
      </c>
      <c r="J128" s="139">
        <v>29104391</v>
      </c>
      <c r="K128" s="35" t="s">
        <v>2438</v>
      </c>
      <c r="L128" s="35">
        <v>3447000</v>
      </c>
      <c r="M128" s="35" t="s">
        <v>3735</v>
      </c>
      <c r="N128" s="35" t="s">
        <v>4181</v>
      </c>
      <c r="O128" s="35">
        <v>3428</v>
      </c>
      <c r="P128" s="140">
        <v>43073</v>
      </c>
      <c r="Q128" s="140">
        <v>46724</v>
      </c>
      <c r="R128" s="62" t="s">
        <v>2440</v>
      </c>
      <c r="S128" s="142" t="s">
        <v>2442</v>
      </c>
      <c r="T128" s="35" t="s">
        <v>2443</v>
      </c>
      <c r="U128" s="142" t="s">
        <v>665</v>
      </c>
      <c r="V128" s="142" t="s">
        <v>1878</v>
      </c>
      <c r="W128" s="142">
        <v>2547</v>
      </c>
      <c r="X128" s="143">
        <v>107263.31</v>
      </c>
      <c r="Y128" s="143">
        <v>92296.33</v>
      </c>
      <c r="Z128" s="2" t="s">
        <v>4046</v>
      </c>
      <c r="AA128" s="104"/>
      <c r="AB128" s="69"/>
      <c r="AC128" s="82"/>
      <c r="AD128" s="82"/>
      <c r="AE128" s="95"/>
      <c r="AF128" s="82"/>
      <c r="AG128" s="95"/>
      <c r="AH128" s="95"/>
      <c r="AI128" s="69"/>
      <c r="AJ128" s="35"/>
      <c r="AK128" s="69"/>
      <c r="AL128" s="69"/>
      <c r="AM128" s="117">
        <f>AVERAGE(AM129:AM130)</f>
        <v>4076202.2000394245</v>
      </c>
      <c r="AN128" s="117">
        <f>AVERAGE(AN129:AN130)</f>
        <v>2336802.6723609604</v>
      </c>
      <c r="AO128" s="82" t="s">
        <v>2456</v>
      </c>
      <c r="AP128" s="107"/>
      <c r="AQ128" s="107"/>
      <c r="AR128" s="8"/>
    </row>
    <row r="129" spans="1:44" ht="35.25" customHeight="1" hidden="1">
      <c r="A129" s="35"/>
      <c r="B129" s="35"/>
      <c r="C129" s="35"/>
      <c r="D129" s="35"/>
      <c r="E129" s="35"/>
      <c r="F129" s="142"/>
      <c r="G129" s="142"/>
      <c r="H129" s="35"/>
      <c r="I129" s="35"/>
      <c r="J129" s="139"/>
      <c r="K129" s="35"/>
      <c r="L129" s="35"/>
      <c r="M129" s="35"/>
      <c r="N129" s="35" t="s">
        <v>4181</v>
      </c>
      <c r="O129" s="35"/>
      <c r="P129" s="140"/>
      <c r="Q129" s="140"/>
      <c r="R129" s="62"/>
      <c r="S129" s="142"/>
      <c r="T129" s="35"/>
      <c r="U129" s="142"/>
      <c r="V129" s="142"/>
      <c r="W129" s="142"/>
      <c r="X129" s="143"/>
      <c r="Y129" s="143"/>
      <c r="Z129" s="69" t="s">
        <v>3744</v>
      </c>
      <c r="AA129" s="104">
        <v>43560</v>
      </c>
      <c r="AB129" s="69" t="s">
        <v>2530</v>
      </c>
      <c r="AC129" s="82">
        <v>322</v>
      </c>
      <c r="AD129" s="82">
        <v>260</v>
      </c>
      <c r="AE129" s="95">
        <f>((420.027+177.204+358.007+337.942+264.977)/5)</f>
        <v>311.63140000000004</v>
      </c>
      <c r="AF129" s="82">
        <v>24</v>
      </c>
      <c r="AG129" s="95">
        <f>AE129*AC129*AF129*0.0036</f>
        <v>8669.83485312</v>
      </c>
      <c r="AH129" s="95">
        <f>AE129*AD129*AF129*0.0036</f>
        <v>7000.4877696</v>
      </c>
      <c r="AI129" s="69">
        <v>30</v>
      </c>
      <c r="AJ129" s="35">
        <v>12</v>
      </c>
      <c r="AK129" s="69">
        <v>0.64</v>
      </c>
      <c r="AL129" s="69">
        <v>0.57</v>
      </c>
      <c r="AM129" s="127">
        <f>AG129*AI129*AJ129*AK129</f>
        <v>1997529.9501588482</v>
      </c>
      <c r="AN129" s="128">
        <f>AH129*AI129*AJ129*AL129</f>
        <v>1436500.0903219199</v>
      </c>
      <c r="AO129" s="82" t="s">
        <v>2456</v>
      </c>
      <c r="AP129" s="107"/>
      <c r="AQ129" s="107"/>
      <c r="AR129" s="8"/>
    </row>
    <row r="130" spans="1:44" ht="37.5" customHeight="1" hidden="1">
      <c r="A130" s="35"/>
      <c r="B130" s="35"/>
      <c r="C130" s="35"/>
      <c r="D130" s="35"/>
      <c r="E130" s="35"/>
      <c r="F130" s="142"/>
      <c r="G130" s="142"/>
      <c r="H130" s="35"/>
      <c r="I130" s="35"/>
      <c r="J130" s="139"/>
      <c r="K130" s="35"/>
      <c r="L130" s="35"/>
      <c r="M130" s="35"/>
      <c r="N130" s="35" t="s">
        <v>4181</v>
      </c>
      <c r="O130" s="35"/>
      <c r="P130" s="140"/>
      <c r="Q130" s="140"/>
      <c r="R130" s="62"/>
      <c r="S130" s="142"/>
      <c r="T130" s="35"/>
      <c r="U130" s="142"/>
      <c r="V130" s="142"/>
      <c r="W130" s="142"/>
      <c r="X130" s="143"/>
      <c r="Y130" s="143"/>
      <c r="Z130" s="69" t="s">
        <v>4011</v>
      </c>
      <c r="AA130" s="104" t="s">
        <v>3991</v>
      </c>
      <c r="AB130" s="69" t="s">
        <v>3764</v>
      </c>
      <c r="AC130" s="82">
        <v>420</v>
      </c>
      <c r="AD130" s="82">
        <v>200</v>
      </c>
      <c r="AE130" s="95">
        <v>703.2</v>
      </c>
      <c r="AF130" s="82">
        <v>24</v>
      </c>
      <c r="AG130" s="95">
        <f>AE130*AC130*AF130*0.0036</f>
        <v>25517.7216</v>
      </c>
      <c r="AH130" s="95">
        <f>AE130*AD130*AF130*0.0036</f>
        <v>12151.296</v>
      </c>
      <c r="AI130" s="69">
        <v>30</v>
      </c>
      <c r="AJ130" s="35">
        <v>12</v>
      </c>
      <c r="AK130" s="69">
        <v>0.67</v>
      </c>
      <c r="AL130" s="69">
        <v>0.74</v>
      </c>
      <c r="AM130" s="127">
        <f>AG130*AI130*AJ130*AK130</f>
        <v>6154874.4499200005</v>
      </c>
      <c r="AN130" s="128">
        <f>AH130*AI130*AJ130*AL130</f>
        <v>3237105.2544000004</v>
      </c>
      <c r="AO130" s="82"/>
      <c r="AP130" s="107"/>
      <c r="AQ130" s="107"/>
      <c r="AR130" s="8"/>
    </row>
    <row r="131" spans="1:44" ht="25.5" hidden="1">
      <c r="A131" s="35">
        <v>105</v>
      </c>
      <c r="B131" s="35" t="s">
        <v>2</v>
      </c>
      <c r="C131" s="35" t="s">
        <v>2</v>
      </c>
      <c r="D131" s="35">
        <v>4</v>
      </c>
      <c r="E131" s="35" t="s">
        <v>2498</v>
      </c>
      <c r="F131" s="142" t="s">
        <v>2501</v>
      </c>
      <c r="G131" s="142" t="s">
        <v>2490</v>
      </c>
      <c r="H131" s="35" t="s">
        <v>4166</v>
      </c>
      <c r="I131" s="35" t="s">
        <v>4127</v>
      </c>
      <c r="J131" s="139">
        <v>29104391</v>
      </c>
      <c r="K131" s="35" t="s">
        <v>2438</v>
      </c>
      <c r="L131" s="35">
        <v>3447000</v>
      </c>
      <c r="M131" s="35" t="s">
        <v>3735</v>
      </c>
      <c r="N131" s="35" t="s">
        <v>4181</v>
      </c>
      <c r="O131" s="35">
        <v>3428</v>
      </c>
      <c r="P131" s="140">
        <v>43073</v>
      </c>
      <c r="Q131" s="140">
        <v>46724</v>
      </c>
      <c r="R131" s="62" t="s">
        <v>2440</v>
      </c>
      <c r="S131" s="142" t="s">
        <v>2442</v>
      </c>
      <c r="T131" s="35" t="s">
        <v>2443</v>
      </c>
      <c r="U131" s="142" t="s">
        <v>2499</v>
      </c>
      <c r="V131" s="142" t="s">
        <v>2500</v>
      </c>
      <c r="W131" s="142">
        <v>2548</v>
      </c>
      <c r="X131" s="143">
        <v>107288.2</v>
      </c>
      <c r="Y131" s="143">
        <v>92215.86</v>
      </c>
      <c r="Z131" s="69" t="s">
        <v>3741</v>
      </c>
      <c r="AA131" s="104"/>
      <c r="AB131" s="69"/>
      <c r="AC131" s="82"/>
      <c r="AD131" s="82"/>
      <c r="AE131" s="82"/>
      <c r="AF131" s="82"/>
      <c r="AG131" s="95"/>
      <c r="AH131" s="95"/>
      <c r="AI131" s="69"/>
      <c r="AJ131" s="35"/>
      <c r="AK131" s="69"/>
      <c r="AL131" s="69"/>
      <c r="AM131" s="145">
        <v>0</v>
      </c>
      <c r="AN131" s="146">
        <v>0</v>
      </c>
      <c r="AO131" s="82" t="s">
        <v>2456</v>
      </c>
      <c r="AP131" s="105"/>
      <c r="AQ131" s="105"/>
      <c r="AR131" s="8"/>
    </row>
    <row r="132" spans="1:44" ht="25.5">
      <c r="A132" s="35">
        <v>106</v>
      </c>
      <c r="B132" s="35" t="s">
        <v>2</v>
      </c>
      <c r="C132" s="35" t="s">
        <v>2</v>
      </c>
      <c r="D132" s="35">
        <v>4</v>
      </c>
      <c r="E132" s="82" t="s">
        <v>674</v>
      </c>
      <c r="F132" s="35" t="s">
        <v>1290</v>
      </c>
      <c r="G132" s="35" t="s">
        <v>2493</v>
      </c>
      <c r="H132" s="35" t="s">
        <v>4166</v>
      </c>
      <c r="I132" s="35" t="s">
        <v>4127</v>
      </c>
      <c r="J132" s="139">
        <v>29104391</v>
      </c>
      <c r="K132" s="35" t="s">
        <v>2438</v>
      </c>
      <c r="L132" s="35">
        <v>3447000</v>
      </c>
      <c r="M132" s="35" t="s">
        <v>3735</v>
      </c>
      <c r="N132" s="35" t="s">
        <v>4181</v>
      </c>
      <c r="O132" s="35">
        <v>3428</v>
      </c>
      <c r="P132" s="140">
        <v>43073</v>
      </c>
      <c r="Q132" s="140">
        <v>46724</v>
      </c>
      <c r="R132" s="62" t="s">
        <v>2440</v>
      </c>
      <c r="S132" s="62" t="s">
        <v>2441</v>
      </c>
      <c r="T132" s="35" t="s">
        <v>2443</v>
      </c>
      <c r="U132" s="142" t="s">
        <v>3031</v>
      </c>
      <c r="V132" s="142" t="s">
        <v>1879</v>
      </c>
      <c r="W132" s="142">
        <v>2543</v>
      </c>
      <c r="X132" s="143">
        <v>107499.32</v>
      </c>
      <c r="Y132" s="143">
        <v>91919.87</v>
      </c>
      <c r="Z132" s="69" t="s">
        <v>3744</v>
      </c>
      <c r="AA132" s="104">
        <v>43553</v>
      </c>
      <c r="AB132" s="147">
        <v>0.49652777777777773</v>
      </c>
      <c r="AC132" s="69"/>
      <c r="AD132" s="93"/>
      <c r="AE132" s="93"/>
      <c r="AF132" s="93"/>
      <c r="AG132" s="93"/>
      <c r="AH132" s="93"/>
      <c r="AI132" s="93"/>
      <c r="AJ132" s="93"/>
      <c r="AK132" s="93"/>
      <c r="AL132" s="93"/>
      <c r="AM132" s="117">
        <f>AG132*AI132*AJ132*AK132</f>
        <v>0</v>
      </c>
      <c r="AN132" s="118">
        <f>AH132*AI132*AJ132*AL132</f>
        <v>0</v>
      </c>
      <c r="AO132" s="82" t="s">
        <v>2495</v>
      </c>
      <c r="AP132" s="8"/>
      <c r="AQ132" s="8"/>
      <c r="AR132" s="8"/>
    </row>
    <row r="133" spans="1:44" ht="12.75">
      <c r="A133" s="215" t="s">
        <v>2494</v>
      </c>
      <c r="B133" s="216"/>
      <c r="C133" s="216"/>
      <c r="D133" s="216"/>
      <c r="E133" s="216"/>
      <c r="F133" s="216"/>
      <c r="G133" s="216"/>
      <c r="H133" s="216"/>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121">
        <f>'Subcuencas río Fucha'!AM137</f>
        <v>120371.02145874623</v>
      </c>
      <c r="AN133" s="121">
        <f>'Subcuencas río Fucha'!AN137</f>
        <v>84458.57202885028</v>
      </c>
      <c r="AO133" s="82"/>
      <c r="AP133" s="8"/>
      <c r="AQ133" s="8"/>
      <c r="AR133" s="8"/>
    </row>
    <row r="134" spans="1:44" ht="12.75" hidden="1">
      <c r="A134" s="213" t="s">
        <v>2483</v>
      </c>
      <c r="B134" s="214"/>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4"/>
      <c r="Z134" s="214"/>
      <c r="AA134" s="214"/>
      <c r="AB134" s="214"/>
      <c r="AC134" s="214"/>
      <c r="AD134" s="214"/>
      <c r="AE134" s="214"/>
      <c r="AF134" s="214"/>
      <c r="AG134" s="214"/>
      <c r="AH134" s="214"/>
      <c r="AI134" s="214"/>
      <c r="AJ134" s="214"/>
      <c r="AK134" s="214"/>
      <c r="AL134" s="214"/>
      <c r="AM134" s="81">
        <f>'Subcuencas río Fucha'!AM138+'Subcuencas río Fucha'!AM79</f>
        <v>227910.1266721862</v>
      </c>
      <c r="AN134" s="81">
        <f>'Subcuencas río Fucha'!AN138+'Subcuencas río Fucha'!AN79</f>
        <v>171496.1238496503</v>
      </c>
      <c r="AO134" s="82"/>
      <c r="AP134" s="109"/>
      <c r="AQ134" s="109"/>
      <c r="AR134" s="8"/>
    </row>
    <row r="135" spans="1:41" ht="12.75">
      <c r="A135" s="215" t="s">
        <v>2414</v>
      </c>
      <c r="B135" s="216"/>
      <c r="C135" s="216"/>
      <c r="D135" s="216"/>
      <c r="E135" s="216"/>
      <c r="F135" s="216"/>
      <c r="G135" s="216"/>
      <c r="H135" s="216"/>
      <c r="I135" s="216"/>
      <c r="J135" s="216"/>
      <c r="K135" s="216"/>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c r="AM135" s="121">
        <f>AM96+AM99+AM102+AM105+AM111+AM112+AM115+AM116+AM122+AM123+AM124+AM125+AM126+AM127+AM128+AM132+AM117+AM113+AM114+AM120</f>
        <v>24872542.55646554</v>
      </c>
      <c r="AN135" s="121">
        <f>AN96+AN99+AN102+AN105+AN111+AN112+AN115+AN116+AN122+AN123+AN124+AN125+AN126+AN127+AN128+AN132+AN117+AN113+AN114+AN120</f>
        <v>24241583.646106936</v>
      </c>
      <c r="AO135" s="82"/>
    </row>
    <row r="136" spans="1:41" ht="20.25" customHeight="1">
      <c r="A136" s="213" t="s">
        <v>2415</v>
      </c>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A136" s="214"/>
      <c r="AB136" s="214"/>
      <c r="AC136" s="214"/>
      <c r="AD136" s="214"/>
      <c r="AE136" s="214"/>
      <c r="AF136" s="214"/>
      <c r="AG136" s="214"/>
      <c r="AH136" s="214"/>
      <c r="AI136" s="214"/>
      <c r="AJ136" s="214"/>
      <c r="AK136" s="214"/>
      <c r="AL136" s="214"/>
      <c r="AM136" s="81">
        <f>SUM(AM96,AM99,AM102,AM105,AM108:AM117,AM120:AM128,AM131:AM132)+AM134</f>
        <v>25164324.871553726</v>
      </c>
      <c r="AN136" s="81">
        <f>SUM(AN96,AN99,AN102,AN105,AN108:AN117,AN120:AN128,AN131:AN132)+AN134</f>
        <v>24443775.722801384</v>
      </c>
      <c r="AO136" s="82"/>
    </row>
  </sheetData>
  <sheetProtection/>
  <mergeCells count="48">
    <mergeCell ref="A135:AL135"/>
    <mergeCell ref="A1:A2"/>
    <mergeCell ref="B1:B2"/>
    <mergeCell ref="C1:C2"/>
    <mergeCell ref="D1:D2"/>
    <mergeCell ref="E1:E2"/>
    <mergeCell ref="F1:F2"/>
    <mergeCell ref="G1:G2"/>
    <mergeCell ref="H1:H2"/>
    <mergeCell ref="U1:V1"/>
    <mergeCell ref="A136:AL136"/>
    <mergeCell ref="A94:AL94"/>
    <mergeCell ref="A95:AL95"/>
    <mergeCell ref="A133:AL133"/>
    <mergeCell ref="A134:AL134"/>
    <mergeCell ref="I1:I2"/>
    <mergeCell ref="J1:J2"/>
    <mergeCell ref="K1:K2"/>
    <mergeCell ref="L1:L2"/>
    <mergeCell ref="M1:M2"/>
    <mergeCell ref="X1:Y1"/>
    <mergeCell ref="Z1:Z2"/>
    <mergeCell ref="AA1:AA2"/>
    <mergeCell ref="AB1:AB2"/>
    <mergeCell ref="N1:Q1"/>
    <mergeCell ref="R1:R2"/>
    <mergeCell ref="S1:S2"/>
    <mergeCell ref="T1:T2"/>
    <mergeCell ref="AN1:AN2"/>
    <mergeCell ref="AO1:AO2"/>
    <mergeCell ref="A9:AL9"/>
    <mergeCell ref="A10:AL10"/>
    <mergeCell ref="A63:AL63"/>
    <mergeCell ref="AG1:AG2"/>
    <mergeCell ref="AL1:AL2"/>
    <mergeCell ref="AC1:AC2"/>
    <mergeCell ref="AF1:AF2"/>
    <mergeCell ref="W1:W2"/>
    <mergeCell ref="A66:AL66"/>
    <mergeCell ref="A64:AL64"/>
    <mergeCell ref="A65:AL65"/>
    <mergeCell ref="AM1:AM2"/>
    <mergeCell ref="AH1:AH2"/>
    <mergeCell ref="AI1:AI2"/>
    <mergeCell ref="AJ1:AJ2"/>
    <mergeCell ref="AK1:AK2"/>
    <mergeCell ref="AD1:AD2"/>
    <mergeCell ref="AE1:AE2"/>
  </mergeCells>
  <printOptions/>
  <pageMargins left="0.7" right="0.7" top="0.75" bottom="0.75" header="0.3" footer="0.3"/>
  <pageSetup horizontalDpi="600" verticalDpi="600" orientation="portrait" r:id="rId1"/>
  <ignoredErrors>
    <ignoredError sqref="AM102:AN102 AM72:AN72 AM99:AN99 AM87:AN87 AM117:AN117 AM128:AN128 AM105:AN105" formula="1"/>
  </ignoredErrors>
</worksheet>
</file>

<file path=xl/worksheets/sheet6.xml><?xml version="1.0" encoding="utf-8"?>
<worksheet xmlns="http://schemas.openxmlformats.org/spreadsheetml/2006/main" xmlns:r="http://schemas.openxmlformats.org/officeDocument/2006/relationships">
  <dimension ref="A1:AQ138"/>
  <sheetViews>
    <sheetView zoomScale="80" zoomScaleNormal="80" zoomScalePageLayoutView="0" workbookViewId="0" topLeftCell="A1">
      <pane xSplit="5" ySplit="2" topLeftCell="M126" activePane="bottomRight" state="frozen"/>
      <selection pane="topLeft" activeCell="A1" sqref="A1"/>
      <selection pane="topRight" activeCell="F1" sqref="F1"/>
      <selection pane="bottomLeft" activeCell="A3" sqref="A3"/>
      <selection pane="bottomRight" activeCell="N120" sqref="N120:N136"/>
    </sheetView>
  </sheetViews>
  <sheetFormatPr defaultColWidth="11.421875" defaultRowHeight="15"/>
  <cols>
    <col min="1" max="1" width="9.28125" style="31" customWidth="1"/>
    <col min="2" max="2" width="13.421875" style="31" bestFit="1" customWidth="1"/>
    <col min="3" max="3" width="18.140625" style="31" bestFit="1" customWidth="1"/>
    <col min="4" max="4" width="23.7109375" style="31" bestFit="1" customWidth="1"/>
    <col min="5" max="5" width="21.8515625" style="31" bestFit="1" customWidth="1"/>
    <col min="6" max="6" width="29.140625" style="31" customWidth="1"/>
    <col min="7" max="7" width="17.140625" style="31" customWidth="1"/>
    <col min="8" max="8" width="14.00390625" style="31" customWidth="1"/>
    <col min="9" max="9" width="19.7109375" style="31" bestFit="1" customWidth="1"/>
    <col min="10" max="10" width="17.421875" style="31" bestFit="1" customWidth="1"/>
    <col min="11" max="11" width="13.7109375" style="31" customWidth="1"/>
    <col min="12" max="12" width="11.140625" style="31" customWidth="1"/>
    <col min="13" max="13" width="17.28125" style="31" customWidth="1"/>
    <col min="14" max="14" width="6.7109375" style="31" bestFit="1" customWidth="1"/>
    <col min="15" max="15" width="9.57421875" style="31" bestFit="1" customWidth="1"/>
    <col min="16" max="16" width="9.421875" style="31" bestFit="1" customWidth="1"/>
    <col min="17" max="17" width="10.28125" style="31" bestFit="1" customWidth="1"/>
    <col min="18" max="18" width="15.57421875" style="31" bestFit="1" customWidth="1"/>
    <col min="19" max="19" width="10.140625" style="31" customWidth="1"/>
    <col min="20" max="20" width="20.140625" style="31" bestFit="1" customWidth="1"/>
    <col min="21" max="21" width="11.8515625" style="31" bestFit="1" customWidth="1"/>
    <col min="22" max="22" width="13.140625" style="31" bestFit="1" customWidth="1"/>
    <col min="23" max="23" width="4.8515625" style="31" bestFit="1" customWidth="1"/>
    <col min="24" max="24" width="10.28125" style="31" customWidth="1"/>
    <col min="25" max="25" width="15.00390625" style="31" customWidth="1"/>
    <col min="26" max="26" width="72.140625" style="31" customWidth="1"/>
    <col min="27" max="38" width="11.421875" style="31" customWidth="1"/>
    <col min="39" max="39" width="15.57421875" style="31" customWidth="1"/>
    <col min="40" max="40" width="15.421875" style="31" customWidth="1"/>
    <col min="41" max="16384" width="11.421875" style="31" customWidth="1"/>
  </cols>
  <sheetData>
    <row r="1" spans="1:41" ht="12.75" customHeight="1">
      <c r="A1" s="217" t="s">
        <v>0</v>
      </c>
      <c r="B1" s="217" t="s">
        <v>2307</v>
      </c>
      <c r="C1" s="217" t="s">
        <v>84</v>
      </c>
      <c r="D1" s="217" t="s">
        <v>85</v>
      </c>
      <c r="E1" s="217" t="s">
        <v>2416</v>
      </c>
      <c r="F1" s="217" t="s">
        <v>87</v>
      </c>
      <c r="G1" s="217" t="s">
        <v>2417</v>
      </c>
      <c r="H1" s="217" t="s">
        <v>2418</v>
      </c>
      <c r="I1" s="217" t="s">
        <v>2419</v>
      </c>
      <c r="J1" s="223" t="s">
        <v>2420</v>
      </c>
      <c r="K1" s="217" t="s">
        <v>2421</v>
      </c>
      <c r="L1" s="217" t="s">
        <v>2422</v>
      </c>
      <c r="M1" s="217" t="s">
        <v>2423</v>
      </c>
      <c r="N1" s="217" t="s">
        <v>2424</v>
      </c>
      <c r="O1" s="217"/>
      <c r="P1" s="217"/>
      <c r="Q1" s="217"/>
      <c r="R1" s="217" t="s">
        <v>2429</v>
      </c>
      <c r="S1" s="217" t="s">
        <v>2430</v>
      </c>
      <c r="T1" s="217" t="s">
        <v>2431</v>
      </c>
      <c r="U1" s="218" t="s">
        <v>1</v>
      </c>
      <c r="V1" s="219"/>
      <c r="W1" s="217" t="s">
        <v>2432</v>
      </c>
      <c r="X1" s="217" t="s">
        <v>2433</v>
      </c>
      <c r="Y1" s="217"/>
      <c r="Z1" s="217" t="s">
        <v>2401</v>
      </c>
      <c r="AA1" s="217" t="s">
        <v>2402</v>
      </c>
      <c r="AB1" s="217" t="s">
        <v>2403</v>
      </c>
      <c r="AC1" s="217" t="s">
        <v>2386</v>
      </c>
      <c r="AD1" s="217" t="s">
        <v>2387</v>
      </c>
      <c r="AE1" s="217" t="s">
        <v>2388</v>
      </c>
      <c r="AF1" s="217" t="s">
        <v>2389</v>
      </c>
      <c r="AG1" s="217" t="s">
        <v>2390</v>
      </c>
      <c r="AH1" s="217" t="s">
        <v>2391</v>
      </c>
      <c r="AI1" s="217" t="s">
        <v>2392</v>
      </c>
      <c r="AJ1" s="217" t="s">
        <v>2393</v>
      </c>
      <c r="AK1" s="217" t="s">
        <v>2394</v>
      </c>
      <c r="AL1" s="217" t="s">
        <v>2395</v>
      </c>
      <c r="AM1" s="220" t="s">
        <v>2396</v>
      </c>
      <c r="AN1" s="220" t="s">
        <v>2397</v>
      </c>
      <c r="AO1" s="217" t="s">
        <v>2398</v>
      </c>
    </row>
    <row r="2" spans="1:41" ht="25.5">
      <c r="A2" s="221"/>
      <c r="B2" s="221"/>
      <c r="C2" s="221"/>
      <c r="D2" s="221"/>
      <c r="E2" s="221"/>
      <c r="F2" s="221"/>
      <c r="G2" s="221"/>
      <c r="H2" s="221"/>
      <c r="I2" s="221"/>
      <c r="J2" s="229"/>
      <c r="K2" s="221"/>
      <c r="L2" s="221"/>
      <c r="M2" s="221"/>
      <c r="N2" s="84" t="s">
        <v>2425</v>
      </c>
      <c r="O2" s="84" t="s">
        <v>2426</v>
      </c>
      <c r="P2" s="84" t="s">
        <v>2427</v>
      </c>
      <c r="Q2" s="84" t="s">
        <v>2428</v>
      </c>
      <c r="R2" s="221"/>
      <c r="S2" s="221"/>
      <c r="T2" s="221"/>
      <c r="U2" s="84" t="s">
        <v>2399</v>
      </c>
      <c r="V2" s="84" t="s">
        <v>2400</v>
      </c>
      <c r="W2" s="221"/>
      <c r="X2" s="84" t="s">
        <v>2434</v>
      </c>
      <c r="Y2" s="84" t="s">
        <v>2435</v>
      </c>
      <c r="Z2" s="221"/>
      <c r="AA2" s="221"/>
      <c r="AB2" s="221"/>
      <c r="AC2" s="221"/>
      <c r="AD2" s="221"/>
      <c r="AE2" s="221"/>
      <c r="AF2" s="221"/>
      <c r="AG2" s="221"/>
      <c r="AH2" s="221"/>
      <c r="AI2" s="217"/>
      <c r="AJ2" s="217"/>
      <c r="AK2" s="217"/>
      <c r="AL2" s="217"/>
      <c r="AM2" s="220"/>
      <c r="AN2" s="220"/>
      <c r="AO2" s="217"/>
    </row>
    <row r="3" spans="1:41" ht="33.75" customHeight="1">
      <c r="A3" s="35">
        <v>1</v>
      </c>
      <c r="B3" s="35" t="s">
        <v>86</v>
      </c>
      <c r="C3" s="35" t="s">
        <v>2</v>
      </c>
      <c r="D3" s="35">
        <v>2</v>
      </c>
      <c r="E3" s="35" t="s">
        <v>511</v>
      </c>
      <c r="F3" s="35" t="s">
        <v>560</v>
      </c>
      <c r="G3" s="35" t="s">
        <v>2502</v>
      </c>
      <c r="H3" s="35" t="s">
        <v>4166</v>
      </c>
      <c r="I3" s="35" t="s">
        <v>4127</v>
      </c>
      <c r="J3" s="139">
        <v>29104391</v>
      </c>
      <c r="K3" s="35" t="s">
        <v>2438</v>
      </c>
      <c r="L3" s="35">
        <v>3447000</v>
      </c>
      <c r="M3" s="35" t="s">
        <v>3735</v>
      </c>
      <c r="N3" s="35" t="s">
        <v>4181</v>
      </c>
      <c r="O3" s="35">
        <v>3428</v>
      </c>
      <c r="P3" s="140">
        <v>43073</v>
      </c>
      <c r="Q3" s="140">
        <v>46724</v>
      </c>
      <c r="R3" s="62" t="s">
        <v>2440</v>
      </c>
      <c r="S3" s="141" t="s">
        <v>2436</v>
      </c>
      <c r="T3" s="35" t="s">
        <v>2443</v>
      </c>
      <c r="U3" s="142" t="s">
        <v>3032</v>
      </c>
      <c r="V3" s="142" t="s">
        <v>1934</v>
      </c>
      <c r="W3" s="142">
        <v>2581</v>
      </c>
      <c r="X3" s="143">
        <v>97586.43</v>
      </c>
      <c r="Y3" s="143">
        <v>97029.12</v>
      </c>
      <c r="Z3" s="69" t="s">
        <v>3744</v>
      </c>
      <c r="AA3" s="175">
        <v>43486</v>
      </c>
      <c r="AB3" s="135">
        <v>0.42569444444444443</v>
      </c>
      <c r="AC3" s="69"/>
      <c r="AD3" s="93"/>
      <c r="AE3" s="93"/>
      <c r="AF3" s="93"/>
      <c r="AG3" s="93"/>
      <c r="AH3" s="93"/>
      <c r="AI3" s="93"/>
      <c r="AJ3" s="93"/>
      <c r="AK3" s="93"/>
      <c r="AL3" s="93"/>
      <c r="AM3" s="117">
        <f>AG3*AI3*AJ3*AK3</f>
        <v>0</v>
      </c>
      <c r="AN3" s="118">
        <f>AH3*AI3*AJ3*AL3</f>
        <v>0</v>
      </c>
      <c r="AO3" s="82" t="s">
        <v>2455</v>
      </c>
    </row>
    <row r="4" spans="1:41" ht="12.75" customHeight="1">
      <c r="A4" s="35">
        <v>2</v>
      </c>
      <c r="B4" s="35" t="s">
        <v>86</v>
      </c>
      <c r="C4" s="35" t="s">
        <v>2</v>
      </c>
      <c r="D4" s="35">
        <v>2</v>
      </c>
      <c r="E4" s="69" t="s">
        <v>561</v>
      </c>
      <c r="F4" s="142" t="s">
        <v>570</v>
      </c>
      <c r="G4" s="35" t="s">
        <v>2502</v>
      </c>
      <c r="H4" s="35" t="s">
        <v>4166</v>
      </c>
      <c r="I4" s="35" t="s">
        <v>4127</v>
      </c>
      <c r="J4" s="139">
        <v>29104391</v>
      </c>
      <c r="K4" s="35" t="s">
        <v>2438</v>
      </c>
      <c r="L4" s="35">
        <v>3447000</v>
      </c>
      <c r="M4" s="35" t="s">
        <v>3735</v>
      </c>
      <c r="N4" s="35" t="s">
        <v>4181</v>
      </c>
      <c r="O4" s="35">
        <v>3428</v>
      </c>
      <c r="P4" s="140">
        <v>43073</v>
      </c>
      <c r="Q4" s="140">
        <v>46724</v>
      </c>
      <c r="R4" s="62" t="s">
        <v>2440</v>
      </c>
      <c r="S4" s="35" t="s">
        <v>2442</v>
      </c>
      <c r="T4" s="35" t="s">
        <v>2443</v>
      </c>
      <c r="U4" s="142" t="s">
        <v>3033</v>
      </c>
      <c r="V4" s="142" t="s">
        <v>1935</v>
      </c>
      <c r="W4" s="142">
        <v>2581</v>
      </c>
      <c r="X4" s="143">
        <v>97591.35</v>
      </c>
      <c r="Y4" s="143">
        <v>97015.86</v>
      </c>
      <c r="Z4" s="69" t="s">
        <v>3741</v>
      </c>
      <c r="AA4" s="176"/>
      <c r="AB4" s="176"/>
      <c r="AC4" s="176"/>
      <c r="AD4" s="176"/>
      <c r="AE4" s="176"/>
      <c r="AF4" s="176"/>
      <c r="AG4" s="95"/>
      <c r="AH4" s="95"/>
      <c r="AI4" s="69"/>
      <c r="AJ4" s="35"/>
      <c r="AK4" s="69"/>
      <c r="AL4" s="69"/>
      <c r="AM4" s="145">
        <f aca="true" t="shared" si="0" ref="AM4:AM73">AG4*AI4*AJ4*AK4</f>
        <v>0</v>
      </c>
      <c r="AN4" s="146">
        <f aca="true" t="shared" si="1" ref="AN4:AN73">AH4*AI4*AJ4*AL4</f>
        <v>0</v>
      </c>
      <c r="AO4" s="69" t="s">
        <v>2413</v>
      </c>
    </row>
    <row r="5" spans="1:41" ht="30" customHeight="1">
      <c r="A5" s="35">
        <v>3</v>
      </c>
      <c r="B5" s="35" t="s">
        <v>86</v>
      </c>
      <c r="C5" s="35" t="s">
        <v>2</v>
      </c>
      <c r="D5" s="35">
        <v>2</v>
      </c>
      <c r="E5" s="69" t="s">
        <v>562</v>
      </c>
      <c r="F5" s="142" t="s">
        <v>570</v>
      </c>
      <c r="G5" s="35" t="s">
        <v>2502</v>
      </c>
      <c r="H5" s="35" t="s">
        <v>4166</v>
      </c>
      <c r="I5" s="35" t="s">
        <v>4127</v>
      </c>
      <c r="J5" s="139">
        <v>29104391</v>
      </c>
      <c r="K5" s="35" t="s">
        <v>2438</v>
      </c>
      <c r="L5" s="35">
        <v>3447000</v>
      </c>
      <c r="M5" s="35" t="s">
        <v>3735</v>
      </c>
      <c r="N5" s="35" t="s">
        <v>4181</v>
      </c>
      <c r="O5" s="35">
        <v>3428</v>
      </c>
      <c r="P5" s="140">
        <v>43073</v>
      </c>
      <c r="Q5" s="140">
        <v>46724</v>
      </c>
      <c r="R5" s="62" t="s">
        <v>2440</v>
      </c>
      <c r="S5" s="35" t="s">
        <v>2442</v>
      </c>
      <c r="T5" s="35" t="s">
        <v>2443</v>
      </c>
      <c r="U5" s="142" t="s">
        <v>3034</v>
      </c>
      <c r="V5" s="142" t="s">
        <v>1936</v>
      </c>
      <c r="W5" s="142">
        <v>2581</v>
      </c>
      <c r="X5" s="143">
        <v>97592.57</v>
      </c>
      <c r="Y5" s="143">
        <v>97014.01</v>
      </c>
      <c r="Z5" s="69" t="s">
        <v>3741</v>
      </c>
      <c r="AA5" s="176"/>
      <c r="AB5" s="176"/>
      <c r="AC5" s="176"/>
      <c r="AD5" s="176"/>
      <c r="AE5" s="176"/>
      <c r="AF5" s="176"/>
      <c r="AG5" s="95"/>
      <c r="AH5" s="95"/>
      <c r="AI5" s="69"/>
      <c r="AJ5" s="35"/>
      <c r="AK5" s="69"/>
      <c r="AL5" s="69"/>
      <c r="AM5" s="145">
        <f t="shared" si="0"/>
        <v>0</v>
      </c>
      <c r="AN5" s="146">
        <f t="shared" si="1"/>
        <v>0</v>
      </c>
      <c r="AO5" s="69" t="s">
        <v>2413</v>
      </c>
    </row>
    <row r="6" spans="1:41" ht="30" customHeight="1">
      <c r="A6" s="35">
        <v>4</v>
      </c>
      <c r="B6" s="35" t="s">
        <v>86</v>
      </c>
      <c r="C6" s="35" t="s">
        <v>2</v>
      </c>
      <c r="D6" s="35">
        <v>2</v>
      </c>
      <c r="E6" s="69" t="s">
        <v>563</v>
      </c>
      <c r="F6" s="142" t="s">
        <v>571</v>
      </c>
      <c r="G6" s="35" t="s">
        <v>2502</v>
      </c>
      <c r="H6" s="35" t="s">
        <v>4166</v>
      </c>
      <c r="I6" s="35" t="s">
        <v>4127</v>
      </c>
      <c r="J6" s="139">
        <v>29104391</v>
      </c>
      <c r="K6" s="35" t="s">
        <v>2438</v>
      </c>
      <c r="L6" s="35">
        <v>3447000</v>
      </c>
      <c r="M6" s="35" t="s">
        <v>3735</v>
      </c>
      <c r="N6" s="35" t="s">
        <v>4181</v>
      </c>
      <c r="O6" s="35">
        <v>3428</v>
      </c>
      <c r="P6" s="140">
        <v>43073</v>
      </c>
      <c r="Q6" s="140">
        <v>46724</v>
      </c>
      <c r="R6" s="62" t="s">
        <v>2440</v>
      </c>
      <c r="S6" s="35" t="s">
        <v>2442</v>
      </c>
      <c r="T6" s="35" t="s">
        <v>2443</v>
      </c>
      <c r="U6" s="142" t="s">
        <v>3035</v>
      </c>
      <c r="V6" s="142" t="s">
        <v>1937</v>
      </c>
      <c r="W6" s="142">
        <v>2573</v>
      </c>
      <c r="X6" s="143">
        <v>97945.62</v>
      </c>
      <c r="Y6" s="143">
        <v>96330.04</v>
      </c>
      <c r="Z6" s="69" t="s">
        <v>3744</v>
      </c>
      <c r="AA6" s="67">
        <v>43486</v>
      </c>
      <c r="AB6" s="147">
        <v>0.42569444444444443</v>
      </c>
      <c r="AC6" s="69"/>
      <c r="AD6" s="93"/>
      <c r="AE6" s="93"/>
      <c r="AF6" s="93"/>
      <c r="AG6" s="93"/>
      <c r="AH6" s="93"/>
      <c r="AI6" s="93"/>
      <c r="AJ6" s="93"/>
      <c r="AK6" s="93"/>
      <c r="AL6" s="93"/>
      <c r="AM6" s="117">
        <f t="shared" si="0"/>
        <v>0</v>
      </c>
      <c r="AN6" s="118">
        <f t="shared" si="1"/>
        <v>0</v>
      </c>
      <c r="AO6" s="82" t="s">
        <v>2455</v>
      </c>
    </row>
    <row r="7" spans="1:41" ht="27.75" customHeight="1">
      <c r="A7" s="35">
        <v>5</v>
      </c>
      <c r="B7" s="35" t="s">
        <v>86</v>
      </c>
      <c r="C7" s="35" t="s">
        <v>2</v>
      </c>
      <c r="D7" s="35">
        <v>2</v>
      </c>
      <c r="E7" s="69" t="s">
        <v>564</v>
      </c>
      <c r="F7" s="142" t="s">
        <v>571</v>
      </c>
      <c r="G7" s="35" t="s">
        <v>2502</v>
      </c>
      <c r="H7" s="35" t="s">
        <v>4166</v>
      </c>
      <c r="I7" s="35" t="s">
        <v>4127</v>
      </c>
      <c r="J7" s="139">
        <v>29104391</v>
      </c>
      <c r="K7" s="35" t="s">
        <v>2438</v>
      </c>
      <c r="L7" s="35">
        <v>3447000</v>
      </c>
      <c r="M7" s="35" t="s">
        <v>3735</v>
      </c>
      <c r="N7" s="35" t="s">
        <v>4181</v>
      </c>
      <c r="O7" s="35">
        <v>3428</v>
      </c>
      <c r="P7" s="140">
        <v>43073</v>
      </c>
      <c r="Q7" s="140">
        <v>46724</v>
      </c>
      <c r="R7" s="62" t="s">
        <v>2440</v>
      </c>
      <c r="S7" s="62" t="s">
        <v>2441</v>
      </c>
      <c r="T7" s="35" t="s">
        <v>2443</v>
      </c>
      <c r="U7" s="142" t="s">
        <v>3036</v>
      </c>
      <c r="V7" s="142" t="s">
        <v>1938</v>
      </c>
      <c r="W7" s="142">
        <v>2573</v>
      </c>
      <c r="X7" s="143">
        <v>97977.58</v>
      </c>
      <c r="Y7" s="143">
        <v>96319.25</v>
      </c>
      <c r="Z7" s="69" t="s">
        <v>3744</v>
      </c>
      <c r="AA7" s="67">
        <v>43486</v>
      </c>
      <c r="AB7" s="147">
        <v>0.4270833333333333</v>
      </c>
      <c r="AC7" s="69"/>
      <c r="AD7" s="93"/>
      <c r="AE7" s="93"/>
      <c r="AF7" s="93"/>
      <c r="AG7" s="93"/>
      <c r="AH7" s="93"/>
      <c r="AI7" s="93"/>
      <c r="AJ7" s="93"/>
      <c r="AK7" s="93"/>
      <c r="AL7" s="93"/>
      <c r="AM7" s="117">
        <f t="shared" si="0"/>
        <v>0</v>
      </c>
      <c r="AN7" s="118">
        <f t="shared" si="1"/>
        <v>0</v>
      </c>
      <c r="AO7" s="82" t="s">
        <v>2455</v>
      </c>
    </row>
    <row r="8" spans="1:41" ht="30.75" customHeight="1">
      <c r="A8" s="35">
        <v>6</v>
      </c>
      <c r="B8" s="35" t="s">
        <v>86</v>
      </c>
      <c r="C8" s="35" t="s">
        <v>2</v>
      </c>
      <c r="D8" s="35">
        <v>2</v>
      </c>
      <c r="E8" s="69" t="s">
        <v>565</v>
      </c>
      <c r="F8" s="142" t="s">
        <v>571</v>
      </c>
      <c r="G8" s="35" t="s">
        <v>2502</v>
      </c>
      <c r="H8" s="35" t="s">
        <v>4166</v>
      </c>
      <c r="I8" s="35" t="s">
        <v>4127</v>
      </c>
      <c r="J8" s="139">
        <v>29104391</v>
      </c>
      <c r="K8" s="35" t="s">
        <v>2438</v>
      </c>
      <c r="L8" s="35">
        <v>3447000</v>
      </c>
      <c r="M8" s="35" t="s">
        <v>3735</v>
      </c>
      <c r="N8" s="35" t="s">
        <v>4181</v>
      </c>
      <c r="O8" s="35">
        <v>3428</v>
      </c>
      <c r="P8" s="140">
        <v>43073</v>
      </c>
      <c r="Q8" s="140">
        <v>46724</v>
      </c>
      <c r="R8" s="62" t="s">
        <v>2440</v>
      </c>
      <c r="S8" s="35" t="s">
        <v>2442</v>
      </c>
      <c r="T8" s="35" t="s">
        <v>2443</v>
      </c>
      <c r="U8" s="142" t="s">
        <v>3037</v>
      </c>
      <c r="V8" s="142" t="s">
        <v>1939</v>
      </c>
      <c r="W8" s="142">
        <v>2573</v>
      </c>
      <c r="X8" s="143">
        <v>98010.46</v>
      </c>
      <c r="Y8" s="143">
        <v>96301.67</v>
      </c>
      <c r="Z8" s="69" t="s">
        <v>3744</v>
      </c>
      <c r="AA8" s="67">
        <v>43486</v>
      </c>
      <c r="AB8" s="147">
        <v>0.43263888888888885</v>
      </c>
      <c r="AC8" s="69"/>
      <c r="AD8" s="93"/>
      <c r="AE8" s="93"/>
      <c r="AF8" s="93"/>
      <c r="AG8" s="93"/>
      <c r="AH8" s="93"/>
      <c r="AI8" s="93"/>
      <c r="AJ8" s="93"/>
      <c r="AK8" s="93"/>
      <c r="AL8" s="93"/>
      <c r="AM8" s="117">
        <f t="shared" si="0"/>
        <v>0</v>
      </c>
      <c r="AN8" s="118">
        <f t="shared" si="1"/>
        <v>0</v>
      </c>
      <c r="AO8" s="82" t="s">
        <v>2455</v>
      </c>
    </row>
    <row r="9" spans="1:41" ht="26.25" customHeight="1">
      <c r="A9" s="35">
        <v>7</v>
      </c>
      <c r="B9" s="35" t="s">
        <v>86</v>
      </c>
      <c r="C9" s="35" t="s">
        <v>2</v>
      </c>
      <c r="D9" s="35">
        <v>2</v>
      </c>
      <c r="E9" s="69" t="s">
        <v>566</v>
      </c>
      <c r="F9" s="142" t="s">
        <v>572</v>
      </c>
      <c r="G9" s="35" t="s">
        <v>2502</v>
      </c>
      <c r="H9" s="35" t="s">
        <v>4166</v>
      </c>
      <c r="I9" s="35" t="s">
        <v>4127</v>
      </c>
      <c r="J9" s="139">
        <v>29104391</v>
      </c>
      <c r="K9" s="35" t="s">
        <v>2438</v>
      </c>
      <c r="L9" s="35">
        <v>3447000</v>
      </c>
      <c r="M9" s="35" t="s">
        <v>3735</v>
      </c>
      <c r="N9" s="35" t="s">
        <v>4181</v>
      </c>
      <c r="O9" s="35">
        <v>3428</v>
      </c>
      <c r="P9" s="140">
        <v>43073</v>
      </c>
      <c r="Q9" s="140">
        <v>46724</v>
      </c>
      <c r="R9" s="62" t="s">
        <v>2440</v>
      </c>
      <c r="S9" s="35" t="s">
        <v>2442</v>
      </c>
      <c r="T9" s="35" t="s">
        <v>2443</v>
      </c>
      <c r="U9" s="142" t="s">
        <v>3038</v>
      </c>
      <c r="V9" s="142" t="s">
        <v>1940</v>
      </c>
      <c r="W9" s="142">
        <v>2569</v>
      </c>
      <c r="X9" s="143">
        <v>98196.67</v>
      </c>
      <c r="Y9" s="143">
        <v>96212.23</v>
      </c>
      <c r="Z9" s="69" t="s">
        <v>3744</v>
      </c>
      <c r="AA9" s="67">
        <v>43486</v>
      </c>
      <c r="AB9" s="147">
        <v>0.4361111111111111</v>
      </c>
      <c r="AC9" s="69"/>
      <c r="AD9" s="93"/>
      <c r="AE9" s="93"/>
      <c r="AF9" s="93"/>
      <c r="AG9" s="93"/>
      <c r="AH9" s="93"/>
      <c r="AI9" s="93"/>
      <c r="AJ9" s="93"/>
      <c r="AK9" s="93"/>
      <c r="AL9" s="93"/>
      <c r="AM9" s="117">
        <f t="shared" si="0"/>
        <v>0</v>
      </c>
      <c r="AN9" s="118">
        <f t="shared" si="1"/>
        <v>0</v>
      </c>
      <c r="AO9" s="82" t="s">
        <v>2455</v>
      </c>
    </row>
    <row r="10" spans="1:41" ht="67.5" customHeight="1">
      <c r="A10" s="35">
        <v>8</v>
      </c>
      <c r="B10" s="35" t="s">
        <v>86</v>
      </c>
      <c r="C10" s="35" t="s">
        <v>2</v>
      </c>
      <c r="D10" s="35">
        <v>2</v>
      </c>
      <c r="E10" s="69" t="s">
        <v>567</v>
      </c>
      <c r="F10" s="142" t="s">
        <v>573</v>
      </c>
      <c r="G10" s="35" t="s">
        <v>2502</v>
      </c>
      <c r="H10" s="35" t="s">
        <v>4166</v>
      </c>
      <c r="I10" s="35" t="s">
        <v>4127</v>
      </c>
      <c r="J10" s="139">
        <v>29104391</v>
      </c>
      <c r="K10" s="35" t="s">
        <v>2438</v>
      </c>
      <c r="L10" s="35">
        <v>3447000</v>
      </c>
      <c r="M10" s="35" t="s">
        <v>3735</v>
      </c>
      <c r="N10" s="35" t="s">
        <v>4181</v>
      </c>
      <c r="O10" s="35">
        <v>3428</v>
      </c>
      <c r="P10" s="140">
        <v>43073</v>
      </c>
      <c r="Q10" s="140">
        <v>46724</v>
      </c>
      <c r="R10" s="62" t="s">
        <v>2440</v>
      </c>
      <c r="S10" s="35" t="s">
        <v>2442</v>
      </c>
      <c r="T10" s="35" t="s">
        <v>2443</v>
      </c>
      <c r="U10" s="142" t="s">
        <v>3039</v>
      </c>
      <c r="V10" s="142" t="s">
        <v>1941</v>
      </c>
      <c r="W10" s="142">
        <v>2568</v>
      </c>
      <c r="X10" s="143">
        <v>98325.73</v>
      </c>
      <c r="Y10" s="143">
        <v>96151.48</v>
      </c>
      <c r="Z10" s="69" t="s">
        <v>4074</v>
      </c>
      <c r="AA10" s="67">
        <v>43662</v>
      </c>
      <c r="AB10" s="147" t="s">
        <v>3941</v>
      </c>
      <c r="AC10" s="82">
        <v>288</v>
      </c>
      <c r="AD10" s="82">
        <v>385</v>
      </c>
      <c r="AE10" s="82">
        <v>57.84</v>
      </c>
      <c r="AF10" s="82">
        <v>24</v>
      </c>
      <c r="AG10" s="95">
        <f>AE10*AC10*AF10*0.0036</f>
        <v>1439.2442880000003</v>
      </c>
      <c r="AH10" s="95">
        <f>AE10*AD10*AF10*0.0036</f>
        <v>1923.9897600000004</v>
      </c>
      <c r="AI10" s="82">
        <v>30</v>
      </c>
      <c r="AJ10" s="82">
        <v>12</v>
      </c>
      <c r="AK10" s="82">
        <v>0.58</v>
      </c>
      <c r="AL10" s="82">
        <v>0.71</v>
      </c>
      <c r="AM10" s="117">
        <f t="shared" si="0"/>
        <v>300514.20733440004</v>
      </c>
      <c r="AN10" s="118">
        <f t="shared" si="1"/>
        <v>491771.78265600005</v>
      </c>
      <c r="AO10" s="82" t="s">
        <v>2455</v>
      </c>
    </row>
    <row r="11" spans="1:41" ht="46.5" customHeight="1">
      <c r="A11" s="35">
        <v>9</v>
      </c>
      <c r="B11" s="35" t="s">
        <v>86</v>
      </c>
      <c r="C11" s="35" t="s">
        <v>2</v>
      </c>
      <c r="D11" s="35">
        <v>2</v>
      </c>
      <c r="E11" s="69" t="s">
        <v>568</v>
      </c>
      <c r="F11" s="142" t="s">
        <v>574</v>
      </c>
      <c r="G11" s="35" t="s">
        <v>2502</v>
      </c>
      <c r="H11" s="35" t="s">
        <v>4166</v>
      </c>
      <c r="I11" s="35" t="s">
        <v>4127</v>
      </c>
      <c r="J11" s="139">
        <v>29104391</v>
      </c>
      <c r="K11" s="35" t="s">
        <v>2438</v>
      </c>
      <c r="L11" s="35">
        <v>3447000</v>
      </c>
      <c r="M11" s="35" t="s">
        <v>3735</v>
      </c>
      <c r="N11" s="35" t="s">
        <v>4181</v>
      </c>
      <c r="O11" s="35">
        <v>3428</v>
      </c>
      <c r="P11" s="140">
        <v>43073</v>
      </c>
      <c r="Q11" s="140">
        <v>46724</v>
      </c>
      <c r="R11" s="62" t="s">
        <v>2440</v>
      </c>
      <c r="S11" s="35" t="s">
        <v>2442</v>
      </c>
      <c r="T11" s="35" t="s">
        <v>2443</v>
      </c>
      <c r="U11" s="142" t="s">
        <v>3040</v>
      </c>
      <c r="V11" s="142" t="s">
        <v>1942</v>
      </c>
      <c r="W11" s="142">
        <v>2567</v>
      </c>
      <c r="X11" s="143">
        <v>98460.33</v>
      </c>
      <c r="Y11" s="143">
        <v>96088.26</v>
      </c>
      <c r="Z11" s="69" t="s">
        <v>3744</v>
      </c>
      <c r="AA11" s="67">
        <v>43486</v>
      </c>
      <c r="AB11" s="147">
        <v>0.44375000000000003</v>
      </c>
      <c r="AC11" s="69"/>
      <c r="AD11" s="93"/>
      <c r="AE11" s="93"/>
      <c r="AF11" s="93"/>
      <c r="AG11" s="93"/>
      <c r="AH11" s="93"/>
      <c r="AI11" s="93"/>
      <c r="AJ11" s="93"/>
      <c r="AK11" s="93"/>
      <c r="AL11" s="93"/>
      <c r="AM11" s="117">
        <f t="shared" si="0"/>
        <v>0</v>
      </c>
      <c r="AN11" s="118">
        <f t="shared" si="1"/>
        <v>0</v>
      </c>
      <c r="AO11" s="82" t="s">
        <v>2455</v>
      </c>
    </row>
    <row r="12" spans="1:41" ht="38.25" customHeight="1">
      <c r="A12" s="35">
        <v>10</v>
      </c>
      <c r="B12" s="35" t="s">
        <v>86</v>
      </c>
      <c r="C12" s="35" t="s">
        <v>2</v>
      </c>
      <c r="D12" s="35">
        <v>2</v>
      </c>
      <c r="E12" s="69" t="s">
        <v>569</v>
      </c>
      <c r="F12" s="142" t="s">
        <v>574</v>
      </c>
      <c r="G12" s="35" t="s">
        <v>2502</v>
      </c>
      <c r="H12" s="35" t="s">
        <v>4166</v>
      </c>
      <c r="I12" s="35" t="s">
        <v>4127</v>
      </c>
      <c r="J12" s="139">
        <v>29104391</v>
      </c>
      <c r="K12" s="35" t="s">
        <v>2438</v>
      </c>
      <c r="L12" s="35">
        <v>3447000</v>
      </c>
      <c r="M12" s="35" t="s">
        <v>3735</v>
      </c>
      <c r="N12" s="35" t="s">
        <v>4181</v>
      </c>
      <c r="O12" s="35">
        <v>3428</v>
      </c>
      <c r="P12" s="140">
        <v>43073</v>
      </c>
      <c r="Q12" s="140">
        <v>46724</v>
      </c>
      <c r="R12" s="62" t="s">
        <v>2440</v>
      </c>
      <c r="S12" s="62" t="s">
        <v>2441</v>
      </c>
      <c r="T12" s="35" t="s">
        <v>2443</v>
      </c>
      <c r="U12" s="142" t="s">
        <v>3041</v>
      </c>
      <c r="V12" s="142" t="s">
        <v>1943</v>
      </c>
      <c r="W12" s="142">
        <v>2567</v>
      </c>
      <c r="X12" s="143">
        <v>98466.78</v>
      </c>
      <c r="Y12" s="143">
        <v>96095.35</v>
      </c>
      <c r="Z12" s="69" t="s">
        <v>3744</v>
      </c>
      <c r="AA12" s="67">
        <v>43486</v>
      </c>
      <c r="AB12" s="147">
        <v>0.4451388888888889</v>
      </c>
      <c r="AC12" s="69"/>
      <c r="AD12" s="93"/>
      <c r="AE12" s="93"/>
      <c r="AF12" s="93"/>
      <c r="AG12" s="93"/>
      <c r="AH12" s="93"/>
      <c r="AI12" s="93"/>
      <c r="AJ12" s="93"/>
      <c r="AK12" s="93"/>
      <c r="AL12" s="93"/>
      <c r="AM12" s="117">
        <f t="shared" si="0"/>
        <v>0</v>
      </c>
      <c r="AN12" s="118">
        <f t="shared" si="1"/>
        <v>0</v>
      </c>
      <c r="AO12" s="82" t="s">
        <v>2455</v>
      </c>
    </row>
    <row r="13" spans="1:41" ht="39" customHeight="1">
      <c r="A13" s="35">
        <v>11</v>
      </c>
      <c r="B13" s="35" t="s">
        <v>86</v>
      </c>
      <c r="C13" s="35" t="s">
        <v>2</v>
      </c>
      <c r="D13" s="35">
        <v>2</v>
      </c>
      <c r="E13" s="69" t="s">
        <v>575</v>
      </c>
      <c r="F13" s="142" t="s">
        <v>583</v>
      </c>
      <c r="G13" s="35" t="s">
        <v>2502</v>
      </c>
      <c r="H13" s="35" t="s">
        <v>4166</v>
      </c>
      <c r="I13" s="35" t="s">
        <v>4127</v>
      </c>
      <c r="J13" s="139">
        <v>29104391</v>
      </c>
      <c r="K13" s="35" t="s">
        <v>2438</v>
      </c>
      <c r="L13" s="35">
        <v>3447000</v>
      </c>
      <c r="M13" s="35" t="s">
        <v>3735</v>
      </c>
      <c r="N13" s="35" t="s">
        <v>4181</v>
      </c>
      <c r="O13" s="35">
        <v>3428</v>
      </c>
      <c r="P13" s="140">
        <v>43073</v>
      </c>
      <c r="Q13" s="140">
        <v>46724</v>
      </c>
      <c r="R13" s="62" t="s">
        <v>2440</v>
      </c>
      <c r="S13" s="35" t="s">
        <v>2442</v>
      </c>
      <c r="T13" s="35" t="s">
        <v>2443</v>
      </c>
      <c r="U13" s="142" t="s">
        <v>3042</v>
      </c>
      <c r="V13" s="142" t="s">
        <v>1944</v>
      </c>
      <c r="W13" s="142">
        <v>2566</v>
      </c>
      <c r="X13" s="143">
        <v>98616.12</v>
      </c>
      <c r="Y13" s="143">
        <v>96018.56</v>
      </c>
      <c r="Z13" s="69" t="s">
        <v>3744</v>
      </c>
      <c r="AA13" s="67">
        <v>43486</v>
      </c>
      <c r="AB13" s="147">
        <v>0.45416666666666666</v>
      </c>
      <c r="AC13" s="69"/>
      <c r="AD13" s="93"/>
      <c r="AE13" s="93"/>
      <c r="AF13" s="93"/>
      <c r="AG13" s="93"/>
      <c r="AH13" s="93"/>
      <c r="AI13" s="93"/>
      <c r="AJ13" s="93"/>
      <c r="AK13" s="93"/>
      <c r="AL13" s="93"/>
      <c r="AM13" s="117">
        <f t="shared" si="0"/>
        <v>0</v>
      </c>
      <c r="AN13" s="118">
        <f t="shared" si="1"/>
        <v>0</v>
      </c>
      <c r="AO13" s="82" t="s">
        <v>2455</v>
      </c>
    </row>
    <row r="14" spans="1:41" ht="59.25" customHeight="1">
      <c r="A14" s="35">
        <v>12</v>
      </c>
      <c r="B14" s="35" t="s">
        <v>86</v>
      </c>
      <c r="C14" s="35" t="s">
        <v>2</v>
      </c>
      <c r="D14" s="35">
        <v>2</v>
      </c>
      <c r="E14" s="69" t="s">
        <v>576</v>
      </c>
      <c r="F14" s="142" t="s">
        <v>584</v>
      </c>
      <c r="G14" s="35" t="s">
        <v>2502</v>
      </c>
      <c r="H14" s="35" t="s">
        <v>4166</v>
      </c>
      <c r="I14" s="35" t="s">
        <v>4127</v>
      </c>
      <c r="J14" s="139">
        <v>29104391</v>
      </c>
      <c r="K14" s="35" t="s">
        <v>2438</v>
      </c>
      <c r="L14" s="35">
        <v>3447000</v>
      </c>
      <c r="M14" s="35" t="s">
        <v>3735</v>
      </c>
      <c r="N14" s="35" t="s">
        <v>4181</v>
      </c>
      <c r="O14" s="35">
        <v>3428</v>
      </c>
      <c r="P14" s="140">
        <v>43073</v>
      </c>
      <c r="Q14" s="140">
        <v>46724</v>
      </c>
      <c r="R14" s="62" t="s">
        <v>2440</v>
      </c>
      <c r="S14" s="35" t="s">
        <v>2442</v>
      </c>
      <c r="T14" s="35" t="s">
        <v>2443</v>
      </c>
      <c r="U14" s="142" t="s">
        <v>3043</v>
      </c>
      <c r="V14" s="142" t="s">
        <v>1945</v>
      </c>
      <c r="W14" s="142">
        <v>2565</v>
      </c>
      <c r="X14" s="143">
        <v>98726.13</v>
      </c>
      <c r="Y14" s="143">
        <v>95963.05</v>
      </c>
      <c r="Z14" s="69" t="s">
        <v>4075</v>
      </c>
      <c r="AA14" s="67">
        <v>43661</v>
      </c>
      <c r="AB14" s="69" t="s">
        <v>3898</v>
      </c>
      <c r="AC14" s="69">
        <v>94.6</v>
      </c>
      <c r="AD14" s="69">
        <v>173</v>
      </c>
      <c r="AE14" s="69">
        <v>6.17</v>
      </c>
      <c r="AF14" s="69">
        <v>24</v>
      </c>
      <c r="AG14" s="95">
        <f>AE14*AC14*AF14*0.0036</f>
        <v>50.430124799999994</v>
      </c>
      <c r="AH14" s="95">
        <f>AE14*AD14*AF14*0.0036</f>
        <v>92.224224</v>
      </c>
      <c r="AI14" s="69">
        <v>30</v>
      </c>
      <c r="AJ14" s="35">
        <v>12</v>
      </c>
      <c r="AK14" s="35">
        <v>0.57</v>
      </c>
      <c r="AL14" s="35">
        <v>0.59</v>
      </c>
      <c r="AM14" s="117">
        <f t="shared" si="0"/>
        <v>10348.261608959998</v>
      </c>
      <c r="AN14" s="118">
        <f t="shared" si="1"/>
        <v>19588.4251776</v>
      </c>
      <c r="AO14" s="82" t="s">
        <v>2455</v>
      </c>
    </row>
    <row r="15" spans="1:41" ht="45" customHeight="1">
      <c r="A15" s="35">
        <v>13</v>
      </c>
      <c r="B15" s="35" t="s">
        <v>86</v>
      </c>
      <c r="C15" s="35" t="s">
        <v>2</v>
      </c>
      <c r="D15" s="35">
        <v>2</v>
      </c>
      <c r="E15" s="69" t="s">
        <v>577</v>
      </c>
      <c r="F15" s="142" t="s">
        <v>585</v>
      </c>
      <c r="G15" s="35" t="s">
        <v>2502</v>
      </c>
      <c r="H15" s="35" t="s">
        <v>4166</v>
      </c>
      <c r="I15" s="35" t="s">
        <v>4127</v>
      </c>
      <c r="J15" s="139">
        <v>29104391</v>
      </c>
      <c r="K15" s="35" t="s">
        <v>2438</v>
      </c>
      <c r="L15" s="35">
        <v>3447000</v>
      </c>
      <c r="M15" s="35" t="s">
        <v>3735</v>
      </c>
      <c r="N15" s="35" t="s">
        <v>4181</v>
      </c>
      <c r="O15" s="35">
        <v>3428</v>
      </c>
      <c r="P15" s="140">
        <v>43073</v>
      </c>
      <c r="Q15" s="140">
        <v>46724</v>
      </c>
      <c r="R15" s="62" t="s">
        <v>2440</v>
      </c>
      <c r="S15" s="62" t="s">
        <v>2441</v>
      </c>
      <c r="T15" s="35" t="s">
        <v>2443</v>
      </c>
      <c r="U15" s="142" t="s">
        <v>3044</v>
      </c>
      <c r="V15" s="142" t="s">
        <v>1946</v>
      </c>
      <c r="W15" s="142">
        <v>2565</v>
      </c>
      <c r="X15" s="143">
        <v>98738.42</v>
      </c>
      <c r="Y15" s="143">
        <v>95965.52</v>
      </c>
      <c r="Z15" s="69" t="s">
        <v>3744</v>
      </c>
      <c r="AA15" s="67">
        <v>43486</v>
      </c>
      <c r="AB15" s="147">
        <v>0.45625</v>
      </c>
      <c r="AC15" s="69"/>
      <c r="AD15" s="93"/>
      <c r="AE15" s="93"/>
      <c r="AF15" s="93"/>
      <c r="AG15" s="93"/>
      <c r="AH15" s="93"/>
      <c r="AI15" s="93"/>
      <c r="AJ15" s="93"/>
      <c r="AK15" s="93"/>
      <c r="AL15" s="93"/>
      <c r="AM15" s="117">
        <f t="shared" si="0"/>
        <v>0</v>
      </c>
      <c r="AN15" s="118">
        <f t="shared" si="1"/>
        <v>0</v>
      </c>
      <c r="AO15" s="82" t="s">
        <v>2455</v>
      </c>
    </row>
    <row r="16" spans="1:41" ht="45.75" customHeight="1">
      <c r="A16" s="35">
        <v>14</v>
      </c>
      <c r="B16" s="35" t="s">
        <v>86</v>
      </c>
      <c r="C16" s="35" t="s">
        <v>2</v>
      </c>
      <c r="D16" s="35">
        <v>2</v>
      </c>
      <c r="E16" s="69" t="s">
        <v>578</v>
      </c>
      <c r="F16" s="142" t="s">
        <v>586</v>
      </c>
      <c r="G16" s="35" t="s">
        <v>2502</v>
      </c>
      <c r="H16" s="35" t="s">
        <v>4166</v>
      </c>
      <c r="I16" s="35" t="s">
        <v>4127</v>
      </c>
      <c r="J16" s="139">
        <v>29104391</v>
      </c>
      <c r="K16" s="35" t="s">
        <v>2438</v>
      </c>
      <c r="L16" s="35">
        <v>3447000</v>
      </c>
      <c r="M16" s="35" t="s">
        <v>3735</v>
      </c>
      <c r="N16" s="35" t="s">
        <v>4181</v>
      </c>
      <c r="O16" s="35">
        <v>3428</v>
      </c>
      <c r="P16" s="140">
        <v>43073</v>
      </c>
      <c r="Q16" s="140">
        <v>46724</v>
      </c>
      <c r="R16" s="62" t="s">
        <v>2440</v>
      </c>
      <c r="S16" s="35" t="s">
        <v>2442</v>
      </c>
      <c r="T16" s="35" t="s">
        <v>2443</v>
      </c>
      <c r="U16" s="142" t="s">
        <v>3045</v>
      </c>
      <c r="V16" s="142" t="s">
        <v>1947</v>
      </c>
      <c r="W16" s="142">
        <v>2564</v>
      </c>
      <c r="X16" s="143">
        <v>99067.22</v>
      </c>
      <c r="Y16" s="143">
        <v>95806.08</v>
      </c>
      <c r="Z16" s="69" t="s">
        <v>3744</v>
      </c>
      <c r="AA16" s="67">
        <v>43487</v>
      </c>
      <c r="AB16" s="147">
        <v>0.40277777777777773</v>
      </c>
      <c r="AC16" s="69"/>
      <c r="AD16" s="93"/>
      <c r="AE16" s="93"/>
      <c r="AF16" s="93"/>
      <c r="AG16" s="93"/>
      <c r="AH16" s="93"/>
      <c r="AI16" s="93"/>
      <c r="AJ16" s="93"/>
      <c r="AK16" s="93"/>
      <c r="AL16" s="93"/>
      <c r="AM16" s="117">
        <f t="shared" si="0"/>
        <v>0</v>
      </c>
      <c r="AN16" s="118">
        <f t="shared" si="1"/>
        <v>0</v>
      </c>
      <c r="AO16" s="82" t="s">
        <v>2455</v>
      </c>
    </row>
    <row r="17" spans="1:41" ht="15.75" customHeight="1">
      <c r="A17" s="35">
        <v>15</v>
      </c>
      <c r="B17" s="35" t="s">
        <v>86</v>
      </c>
      <c r="C17" s="35" t="s">
        <v>2</v>
      </c>
      <c r="D17" s="35">
        <v>2</v>
      </c>
      <c r="E17" s="69" t="s">
        <v>579</v>
      </c>
      <c r="F17" s="142" t="s">
        <v>587</v>
      </c>
      <c r="G17" s="142" t="s">
        <v>2488</v>
      </c>
      <c r="H17" s="35" t="s">
        <v>4166</v>
      </c>
      <c r="I17" s="35" t="s">
        <v>4127</v>
      </c>
      <c r="J17" s="139">
        <v>29104391</v>
      </c>
      <c r="K17" s="35" t="s">
        <v>2438</v>
      </c>
      <c r="L17" s="35">
        <v>3447000</v>
      </c>
      <c r="M17" s="35" t="s">
        <v>3735</v>
      </c>
      <c r="N17" s="35" t="s">
        <v>4181</v>
      </c>
      <c r="O17" s="35">
        <v>3428</v>
      </c>
      <c r="P17" s="140">
        <v>43073</v>
      </c>
      <c r="Q17" s="140">
        <v>46724</v>
      </c>
      <c r="R17" s="62" t="s">
        <v>2440</v>
      </c>
      <c r="S17" s="35" t="s">
        <v>2442</v>
      </c>
      <c r="T17" s="35" t="s">
        <v>2443</v>
      </c>
      <c r="U17" s="142" t="s">
        <v>3046</v>
      </c>
      <c r="V17" s="142" t="s">
        <v>1948</v>
      </c>
      <c r="W17" s="142">
        <v>2563</v>
      </c>
      <c r="X17" s="143">
        <v>99182.76</v>
      </c>
      <c r="Y17" s="143">
        <v>95785.42</v>
      </c>
      <c r="Z17" s="69" t="s">
        <v>3741</v>
      </c>
      <c r="AA17" s="67"/>
      <c r="AB17" s="69"/>
      <c r="AC17" s="69"/>
      <c r="AD17" s="69"/>
      <c r="AE17" s="69"/>
      <c r="AF17" s="69"/>
      <c r="AG17" s="95"/>
      <c r="AH17" s="95"/>
      <c r="AI17" s="69"/>
      <c r="AJ17" s="35"/>
      <c r="AK17" s="35"/>
      <c r="AL17" s="35"/>
      <c r="AM17" s="117">
        <f>AG17*AI17*AJ17*AK17</f>
        <v>0</v>
      </c>
      <c r="AN17" s="118">
        <f>AH17*AI17*AJ17*AL17</f>
        <v>0</v>
      </c>
      <c r="AO17" s="82" t="s">
        <v>2455</v>
      </c>
    </row>
    <row r="18" spans="1:41" ht="52.5" customHeight="1">
      <c r="A18" s="35">
        <v>16</v>
      </c>
      <c r="B18" s="35" t="s">
        <v>86</v>
      </c>
      <c r="C18" s="35" t="s">
        <v>2</v>
      </c>
      <c r="D18" s="35">
        <v>2</v>
      </c>
      <c r="E18" s="69" t="s">
        <v>580</v>
      </c>
      <c r="F18" s="142" t="s">
        <v>587</v>
      </c>
      <c r="G18" s="142" t="s">
        <v>2488</v>
      </c>
      <c r="H18" s="35" t="s">
        <v>4166</v>
      </c>
      <c r="I18" s="35" t="s">
        <v>4127</v>
      </c>
      <c r="J18" s="139">
        <v>29104391</v>
      </c>
      <c r="K18" s="35" t="s">
        <v>2438</v>
      </c>
      <c r="L18" s="35">
        <v>3447000</v>
      </c>
      <c r="M18" s="35" t="s">
        <v>3735</v>
      </c>
      <c r="N18" s="35" t="s">
        <v>4181</v>
      </c>
      <c r="O18" s="35">
        <v>3428</v>
      </c>
      <c r="P18" s="140">
        <v>43073</v>
      </c>
      <c r="Q18" s="140">
        <v>46724</v>
      </c>
      <c r="R18" s="62" t="s">
        <v>2440</v>
      </c>
      <c r="S18" s="62" t="s">
        <v>2441</v>
      </c>
      <c r="T18" s="35" t="s">
        <v>2443</v>
      </c>
      <c r="U18" s="142" t="s">
        <v>3047</v>
      </c>
      <c r="V18" s="142" t="s">
        <v>3048</v>
      </c>
      <c r="W18" s="142">
        <v>2563</v>
      </c>
      <c r="X18" s="143">
        <v>99185.53</v>
      </c>
      <c r="Y18" s="143">
        <v>95796.21</v>
      </c>
      <c r="Z18" s="69" t="s">
        <v>4076</v>
      </c>
      <c r="AA18" s="67">
        <v>43067</v>
      </c>
      <c r="AB18" s="69" t="s">
        <v>3785</v>
      </c>
      <c r="AC18" s="69">
        <v>35</v>
      </c>
      <c r="AD18" s="69">
        <v>310</v>
      </c>
      <c r="AE18" s="69">
        <v>56</v>
      </c>
      <c r="AF18" s="69">
        <v>24</v>
      </c>
      <c r="AG18" s="95">
        <f>AE18*AC18*AF18*0.0036</f>
        <v>169.344</v>
      </c>
      <c r="AH18" s="95">
        <f>AE18*AD18*AF18*0.0036</f>
        <v>1499.904</v>
      </c>
      <c r="AI18" s="69">
        <v>30</v>
      </c>
      <c r="AJ18" s="35">
        <v>12</v>
      </c>
      <c r="AK18" s="35">
        <v>0.58</v>
      </c>
      <c r="AL18" s="35">
        <v>0.71</v>
      </c>
      <c r="AM18" s="117">
        <f t="shared" si="0"/>
        <v>35359.0272</v>
      </c>
      <c r="AN18" s="118">
        <f t="shared" si="1"/>
        <v>383375.4624</v>
      </c>
      <c r="AO18" s="82" t="s">
        <v>2455</v>
      </c>
    </row>
    <row r="19" spans="1:41" ht="38.25" customHeight="1">
      <c r="A19" s="35">
        <v>17</v>
      </c>
      <c r="B19" s="35" t="s">
        <v>86</v>
      </c>
      <c r="C19" s="35" t="s">
        <v>2</v>
      </c>
      <c r="D19" s="35">
        <v>2</v>
      </c>
      <c r="E19" s="69" t="s">
        <v>581</v>
      </c>
      <c r="F19" s="142" t="s">
        <v>588</v>
      </c>
      <c r="G19" s="142" t="s">
        <v>2488</v>
      </c>
      <c r="H19" s="35" t="s">
        <v>4166</v>
      </c>
      <c r="I19" s="35" t="s">
        <v>4127</v>
      </c>
      <c r="J19" s="139">
        <v>29104391</v>
      </c>
      <c r="K19" s="35" t="s">
        <v>2438</v>
      </c>
      <c r="L19" s="35">
        <v>3447000</v>
      </c>
      <c r="M19" s="35" t="s">
        <v>3735</v>
      </c>
      <c r="N19" s="35" t="s">
        <v>4181</v>
      </c>
      <c r="O19" s="35">
        <v>3428</v>
      </c>
      <c r="P19" s="140">
        <v>43073</v>
      </c>
      <c r="Q19" s="140">
        <v>46724</v>
      </c>
      <c r="R19" s="62" t="s">
        <v>2440</v>
      </c>
      <c r="S19" s="62" t="s">
        <v>2441</v>
      </c>
      <c r="T19" s="35" t="s">
        <v>2443</v>
      </c>
      <c r="U19" s="142" t="s">
        <v>3049</v>
      </c>
      <c r="V19" s="142" t="s">
        <v>3050</v>
      </c>
      <c r="W19" s="142">
        <v>2562</v>
      </c>
      <c r="X19" s="143">
        <v>99615.13</v>
      </c>
      <c r="Y19" s="143">
        <v>95772.45</v>
      </c>
      <c r="Z19" s="69" t="s">
        <v>3744</v>
      </c>
      <c r="AA19" s="67">
        <v>43486</v>
      </c>
      <c r="AB19" s="147">
        <v>0.4777777777777778</v>
      </c>
      <c r="AC19" s="69"/>
      <c r="AD19" s="93"/>
      <c r="AE19" s="93"/>
      <c r="AF19" s="93"/>
      <c r="AG19" s="93"/>
      <c r="AH19" s="93"/>
      <c r="AI19" s="93"/>
      <c r="AJ19" s="93"/>
      <c r="AK19" s="93"/>
      <c r="AL19" s="93"/>
      <c r="AM19" s="117">
        <f t="shared" si="0"/>
        <v>0</v>
      </c>
      <c r="AN19" s="118">
        <f t="shared" si="1"/>
        <v>0</v>
      </c>
      <c r="AO19" s="82" t="s">
        <v>2455</v>
      </c>
    </row>
    <row r="20" spans="1:41" ht="12.75" customHeight="1">
      <c r="A20" s="35">
        <v>18</v>
      </c>
      <c r="B20" s="35" t="s">
        <v>86</v>
      </c>
      <c r="C20" s="35" t="s">
        <v>2</v>
      </c>
      <c r="D20" s="35">
        <v>2</v>
      </c>
      <c r="E20" s="69" t="s">
        <v>582</v>
      </c>
      <c r="F20" s="142" t="s">
        <v>588</v>
      </c>
      <c r="G20" s="142" t="s">
        <v>2488</v>
      </c>
      <c r="H20" s="35" t="s">
        <v>4166</v>
      </c>
      <c r="I20" s="35" t="s">
        <v>4127</v>
      </c>
      <c r="J20" s="139">
        <v>29104391</v>
      </c>
      <c r="K20" s="35" t="s">
        <v>2438</v>
      </c>
      <c r="L20" s="35">
        <v>3447000</v>
      </c>
      <c r="M20" s="35" t="s">
        <v>3735</v>
      </c>
      <c r="N20" s="35" t="s">
        <v>4181</v>
      </c>
      <c r="O20" s="35">
        <v>3428</v>
      </c>
      <c r="P20" s="140">
        <v>43073</v>
      </c>
      <c r="Q20" s="140">
        <v>46724</v>
      </c>
      <c r="R20" s="62" t="s">
        <v>2440</v>
      </c>
      <c r="S20" s="35" t="s">
        <v>2442</v>
      </c>
      <c r="T20" s="35" t="s">
        <v>2443</v>
      </c>
      <c r="U20" s="142" t="s">
        <v>3052</v>
      </c>
      <c r="V20" s="142" t="s">
        <v>3051</v>
      </c>
      <c r="W20" s="142">
        <v>2562</v>
      </c>
      <c r="X20" s="143">
        <v>99611.74</v>
      </c>
      <c r="Y20" s="143">
        <v>95766.9</v>
      </c>
      <c r="Z20" s="69" t="s">
        <v>3741</v>
      </c>
      <c r="AA20" s="176"/>
      <c r="AB20" s="176"/>
      <c r="AC20" s="69"/>
      <c r="AD20" s="93"/>
      <c r="AE20" s="93"/>
      <c r="AF20" s="93"/>
      <c r="AG20" s="93"/>
      <c r="AH20" s="93"/>
      <c r="AI20" s="93"/>
      <c r="AJ20" s="93"/>
      <c r="AK20" s="93"/>
      <c r="AL20" s="93"/>
      <c r="AM20" s="117">
        <f t="shared" si="0"/>
        <v>0</v>
      </c>
      <c r="AN20" s="118">
        <f t="shared" si="1"/>
        <v>0</v>
      </c>
      <c r="AO20" s="82" t="s">
        <v>2455</v>
      </c>
    </row>
    <row r="21" spans="1:41" ht="12.75" customHeight="1">
      <c r="A21" s="215" t="s">
        <v>2414</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119">
        <f>AM3+AM6+AM7+AM8+AM9+AM10+AM11+AM12+AM13+AM14+AM15+AM16+AM17+AM18+AM19+AM20</f>
        <v>346221.49614336004</v>
      </c>
      <c r="AN21" s="119">
        <f>AN3+AN6+AN7+AN8+AN9+AN10+AN11+AN12+AN13+AN14+AN15+AN16+AN17+AN18+AN19+AN20</f>
        <v>894735.6702336001</v>
      </c>
      <c r="AO21" s="176"/>
    </row>
    <row r="22" spans="1:43" ht="12.75" customHeight="1">
      <c r="A22" s="213" t="s">
        <v>2415</v>
      </c>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73">
        <f>SUM(AM3:AM20)</f>
        <v>346221.49614336004</v>
      </c>
      <c r="AN22" s="73">
        <f>SUM(AN3:AN20)</f>
        <v>894735.6702336001</v>
      </c>
      <c r="AO22" s="176"/>
      <c r="AP22" s="101"/>
      <c r="AQ22" s="101"/>
    </row>
    <row r="23" spans="1:41" ht="42" customHeight="1">
      <c r="A23" s="35">
        <v>19</v>
      </c>
      <c r="B23" s="35" t="s">
        <v>15</v>
      </c>
      <c r="C23" s="35" t="s">
        <v>2</v>
      </c>
      <c r="D23" s="35">
        <v>2</v>
      </c>
      <c r="E23" s="35" t="s">
        <v>1881</v>
      </c>
      <c r="F23" s="35" t="s">
        <v>1886</v>
      </c>
      <c r="G23" s="35" t="s">
        <v>2502</v>
      </c>
      <c r="H23" s="35" t="s">
        <v>4166</v>
      </c>
      <c r="I23" s="35" t="s">
        <v>4127</v>
      </c>
      <c r="J23" s="139">
        <v>29104391</v>
      </c>
      <c r="K23" s="35" t="s">
        <v>2438</v>
      </c>
      <c r="L23" s="35">
        <v>3447000</v>
      </c>
      <c r="M23" s="35" t="s">
        <v>3735</v>
      </c>
      <c r="N23" s="35" t="s">
        <v>4181</v>
      </c>
      <c r="O23" s="35">
        <v>3428</v>
      </c>
      <c r="P23" s="140">
        <v>43073</v>
      </c>
      <c r="Q23" s="140">
        <v>46724</v>
      </c>
      <c r="R23" s="62" t="s">
        <v>2440</v>
      </c>
      <c r="S23" s="62" t="s">
        <v>2448</v>
      </c>
      <c r="T23" s="35" t="s">
        <v>2443</v>
      </c>
      <c r="U23" s="35" t="s">
        <v>3053</v>
      </c>
      <c r="V23" s="35" t="s">
        <v>1914</v>
      </c>
      <c r="W23" s="35">
        <v>2565</v>
      </c>
      <c r="X23" s="143">
        <v>98558.939</v>
      </c>
      <c r="Y23" s="143">
        <v>95305.02</v>
      </c>
      <c r="Z23" s="69" t="s">
        <v>4077</v>
      </c>
      <c r="AA23" s="67">
        <v>43726</v>
      </c>
      <c r="AB23" s="147" t="s">
        <v>3966</v>
      </c>
      <c r="AC23" s="69">
        <v>454</v>
      </c>
      <c r="AD23" s="69">
        <v>276</v>
      </c>
      <c r="AE23" s="69">
        <v>87.9</v>
      </c>
      <c r="AF23" s="69">
        <v>24</v>
      </c>
      <c r="AG23" s="134">
        <f>AE23*AC23*AF23*0.0036</f>
        <v>3447.9302400000006</v>
      </c>
      <c r="AH23" s="95">
        <f>AE23*AD23*AF23*0.0036</f>
        <v>2096.0985600000004</v>
      </c>
      <c r="AI23" s="69">
        <v>30</v>
      </c>
      <c r="AJ23" s="35">
        <v>12</v>
      </c>
      <c r="AK23" s="35">
        <v>0.72</v>
      </c>
      <c r="AL23" s="35">
        <v>0.78</v>
      </c>
      <c r="AM23" s="145">
        <f>AG23*AI23*AJ23*AK23</f>
        <v>893703.5182080001</v>
      </c>
      <c r="AN23" s="146">
        <f>AH23*AI23*AJ23*AL23</f>
        <v>588584.4756480001</v>
      </c>
      <c r="AO23" s="199" t="s">
        <v>2455</v>
      </c>
    </row>
    <row r="24" spans="1:41" ht="30" customHeight="1">
      <c r="A24" s="35">
        <v>20</v>
      </c>
      <c r="B24" s="35" t="s">
        <v>15</v>
      </c>
      <c r="C24" s="35" t="s">
        <v>2</v>
      </c>
      <c r="D24" s="35">
        <v>2</v>
      </c>
      <c r="E24" s="35" t="s">
        <v>1882</v>
      </c>
      <c r="F24" s="35" t="s">
        <v>1950</v>
      </c>
      <c r="G24" s="35" t="s">
        <v>2502</v>
      </c>
      <c r="H24" s="35" t="s">
        <v>4166</v>
      </c>
      <c r="I24" s="35" t="s">
        <v>4127</v>
      </c>
      <c r="J24" s="139">
        <v>29104391</v>
      </c>
      <c r="K24" s="35" t="s">
        <v>2438</v>
      </c>
      <c r="L24" s="35">
        <v>3447000</v>
      </c>
      <c r="M24" s="35" t="s">
        <v>3735</v>
      </c>
      <c r="N24" s="35" t="s">
        <v>4181</v>
      </c>
      <c r="O24" s="35">
        <v>3428</v>
      </c>
      <c r="P24" s="140">
        <v>43073</v>
      </c>
      <c r="Q24" s="140">
        <v>46724</v>
      </c>
      <c r="R24" s="62" t="s">
        <v>2440</v>
      </c>
      <c r="S24" s="35" t="s">
        <v>2441</v>
      </c>
      <c r="T24" s="35" t="s">
        <v>2443</v>
      </c>
      <c r="U24" s="35" t="s">
        <v>3054</v>
      </c>
      <c r="V24" s="35" t="s">
        <v>1915</v>
      </c>
      <c r="W24" s="35">
        <v>2565</v>
      </c>
      <c r="X24" s="143">
        <v>98570.3</v>
      </c>
      <c r="Y24" s="143">
        <v>95289.91</v>
      </c>
      <c r="Z24" s="69" t="s">
        <v>3744</v>
      </c>
      <c r="AA24" s="67">
        <v>43524</v>
      </c>
      <c r="AB24" s="147">
        <v>0.3756944444444445</v>
      </c>
      <c r="AC24" s="69"/>
      <c r="AD24" s="93"/>
      <c r="AE24" s="93"/>
      <c r="AF24" s="93"/>
      <c r="AG24" s="93"/>
      <c r="AH24" s="93"/>
      <c r="AI24" s="93"/>
      <c r="AJ24" s="93"/>
      <c r="AK24" s="93"/>
      <c r="AL24" s="93"/>
      <c r="AM24" s="117">
        <f t="shared" si="0"/>
        <v>0</v>
      </c>
      <c r="AN24" s="118">
        <f t="shared" si="1"/>
        <v>0</v>
      </c>
      <c r="AO24" s="176"/>
    </row>
    <row r="25" spans="1:41" ht="32.25" customHeight="1">
      <c r="A25" s="35">
        <v>21</v>
      </c>
      <c r="B25" s="35" t="s">
        <v>15</v>
      </c>
      <c r="C25" s="35" t="s">
        <v>2</v>
      </c>
      <c r="D25" s="35">
        <v>2</v>
      </c>
      <c r="E25" s="35" t="s">
        <v>1887</v>
      </c>
      <c r="F25" s="35" t="s">
        <v>2085</v>
      </c>
      <c r="G25" s="35" t="s">
        <v>2502</v>
      </c>
      <c r="H25" s="35" t="s">
        <v>4166</v>
      </c>
      <c r="I25" s="35" t="s">
        <v>4127</v>
      </c>
      <c r="J25" s="139">
        <v>29104391</v>
      </c>
      <c r="K25" s="35" t="s">
        <v>2438</v>
      </c>
      <c r="L25" s="35">
        <v>3447000</v>
      </c>
      <c r="M25" s="35" t="s">
        <v>3735</v>
      </c>
      <c r="N25" s="35" t="s">
        <v>4181</v>
      </c>
      <c r="O25" s="35">
        <v>3428</v>
      </c>
      <c r="P25" s="140">
        <v>43073</v>
      </c>
      <c r="Q25" s="140">
        <v>46724</v>
      </c>
      <c r="R25" s="62" t="s">
        <v>2440</v>
      </c>
      <c r="S25" s="35" t="s">
        <v>2441</v>
      </c>
      <c r="T25" s="35" t="s">
        <v>2443</v>
      </c>
      <c r="U25" s="35" t="s">
        <v>3055</v>
      </c>
      <c r="V25" s="35" t="s">
        <v>1916</v>
      </c>
      <c r="W25" s="35">
        <v>2565</v>
      </c>
      <c r="X25" s="143">
        <v>98570.3</v>
      </c>
      <c r="Y25" s="143">
        <v>95289.91</v>
      </c>
      <c r="Z25" s="69" t="s">
        <v>3744</v>
      </c>
      <c r="AA25" s="67">
        <v>43524</v>
      </c>
      <c r="AB25" s="147">
        <v>0.3770833333333334</v>
      </c>
      <c r="AC25" s="69"/>
      <c r="AD25" s="93"/>
      <c r="AE25" s="93"/>
      <c r="AF25" s="93"/>
      <c r="AG25" s="93"/>
      <c r="AH25" s="93"/>
      <c r="AI25" s="93"/>
      <c r="AJ25" s="93"/>
      <c r="AK25" s="93"/>
      <c r="AL25" s="93"/>
      <c r="AM25" s="117">
        <f t="shared" si="0"/>
        <v>0</v>
      </c>
      <c r="AN25" s="118">
        <f t="shared" si="1"/>
        <v>0</v>
      </c>
      <c r="AO25" s="82" t="s">
        <v>2455</v>
      </c>
    </row>
    <row r="26" spans="1:41" ht="36" customHeight="1">
      <c r="A26" s="35">
        <v>22</v>
      </c>
      <c r="B26" s="35" t="s">
        <v>15</v>
      </c>
      <c r="C26" s="35" t="s">
        <v>2</v>
      </c>
      <c r="D26" s="35">
        <v>2</v>
      </c>
      <c r="E26" s="35" t="s">
        <v>1888</v>
      </c>
      <c r="F26" s="35" t="s">
        <v>1893</v>
      </c>
      <c r="G26" s="35" t="s">
        <v>2502</v>
      </c>
      <c r="H26" s="35" t="s">
        <v>4166</v>
      </c>
      <c r="I26" s="35" t="s">
        <v>4127</v>
      </c>
      <c r="J26" s="139">
        <v>29104391</v>
      </c>
      <c r="K26" s="35" t="s">
        <v>2438</v>
      </c>
      <c r="L26" s="35">
        <v>3447000</v>
      </c>
      <c r="M26" s="35" t="s">
        <v>3735</v>
      </c>
      <c r="N26" s="35" t="s">
        <v>4181</v>
      </c>
      <c r="O26" s="35">
        <v>3428</v>
      </c>
      <c r="P26" s="140">
        <v>43073</v>
      </c>
      <c r="Q26" s="140">
        <v>46724</v>
      </c>
      <c r="R26" s="62" t="s">
        <v>2440</v>
      </c>
      <c r="S26" s="35" t="s">
        <v>2442</v>
      </c>
      <c r="T26" s="35" t="s">
        <v>2443</v>
      </c>
      <c r="U26" s="35" t="s">
        <v>3056</v>
      </c>
      <c r="V26" s="35" t="s">
        <v>1917</v>
      </c>
      <c r="W26" s="35">
        <v>2565</v>
      </c>
      <c r="X26" s="143">
        <v>98857.92</v>
      </c>
      <c r="Y26" s="143">
        <v>95085.14</v>
      </c>
      <c r="Z26" s="69" t="s">
        <v>3744</v>
      </c>
      <c r="AA26" s="67">
        <v>43524</v>
      </c>
      <c r="AB26" s="147">
        <v>0.38055555555555554</v>
      </c>
      <c r="AC26" s="69"/>
      <c r="AD26" s="93"/>
      <c r="AE26" s="93"/>
      <c r="AF26" s="93"/>
      <c r="AG26" s="93"/>
      <c r="AH26" s="93"/>
      <c r="AI26" s="93"/>
      <c r="AJ26" s="93"/>
      <c r="AK26" s="93"/>
      <c r="AL26" s="93"/>
      <c r="AM26" s="117">
        <f t="shared" si="0"/>
        <v>0</v>
      </c>
      <c r="AN26" s="118">
        <f t="shared" si="1"/>
        <v>0</v>
      </c>
      <c r="AO26" s="82" t="s">
        <v>2455</v>
      </c>
    </row>
    <row r="27" spans="1:41" ht="33.75" customHeight="1">
      <c r="A27" s="35">
        <v>23</v>
      </c>
      <c r="B27" s="35" t="s">
        <v>15</v>
      </c>
      <c r="C27" s="35" t="s">
        <v>2</v>
      </c>
      <c r="D27" s="35">
        <v>2</v>
      </c>
      <c r="E27" s="35" t="s">
        <v>1889</v>
      </c>
      <c r="F27" s="35" t="s">
        <v>1894</v>
      </c>
      <c r="G27" s="35" t="s">
        <v>2502</v>
      </c>
      <c r="H27" s="35" t="s">
        <v>4166</v>
      </c>
      <c r="I27" s="35" t="s">
        <v>4127</v>
      </c>
      <c r="J27" s="139">
        <v>29104391</v>
      </c>
      <c r="K27" s="35" t="s">
        <v>2438</v>
      </c>
      <c r="L27" s="35">
        <v>3447000</v>
      </c>
      <c r="M27" s="35" t="s">
        <v>3735</v>
      </c>
      <c r="N27" s="35" t="s">
        <v>4181</v>
      </c>
      <c r="O27" s="35">
        <v>3428</v>
      </c>
      <c r="P27" s="140">
        <v>43073</v>
      </c>
      <c r="Q27" s="140">
        <v>46724</v>
      </c>
      <c r="R27" s="62" t="s">
        <v>2440</v>
      </c>
      <c r="S27" s="35" t="s">
        <v>2442</v>
      </c>
      <c r="T27" s="35" t="s">
        <v>2443</v>
      </c>
      <c r="U27" s="35" t="s">
        <v>3057</v>
      </c>
      <c r="V27" s="35" t="s">
        <v>1918</v>
      </c>
      <c r="W27" s="35">
        <v>2565</v>
      </c>
      <c r="X27" s="143">
        <v>98926.45</v>
      </c>
      <c r="Y27" s="143">
        <v>95078.67</v>
      </c>
      <c r="Z27" s="69" t="s">
        <v>3744</v>
      </c>
      <c r="AA27" s="67">
        <v>43524</v>
      </c>
      <c r="AB27" s="147">
        <v>0.3819444444444444</v>
      </c>
      <c r="AC27" s="69"/>
      <c r="AD27" s="93"/>
      <c r="AE27" s="93"/>
      <c r="AF27" s="93"/>
      <c r="AG27" s="93"/>
      <c r="AH27" s="93"/>
      <c r="AI27" s="93"/>
      <c r="AJ27" s="93"/>
      <c r="AK27" s="93"/>
      <c r="AL27" s="93"/>
      <c r="AM27" s="145">
        <f t="shared" si="0"/>
        <v>0</v>
      </c>
      <c r="AN27" s="146">
        <f t="shared" si="1"/>
        <v>0</v>
      </c>
      <c r="AO27" s="82" t="s">
        <v>2455</v>
      </c>
    </row>
    <row r="28" spans="1:41" ht="37.5" customHeight="1">
      <c r="A28" s="35">
        <v>24</v>
      </c>
      <c r="B28" s="35" t="s">
        <v>15</v>
      </c>
      <c r="C28" s="35" t="s">
        <v>2</v>
      </c>
      <c r="D28" s="35">
        <v>2</v>
      </c>
      <c r="E28" s="35" t="s">
        <v>1890</v>
      </c>
      <c r="F28" s="35" t="s">
        <v>1895</v>
      </c>
      <c r="G28" s="35" t="s">
        <v>2502</v>
      </c>
      <c r="H28" s="35" t="s">
        <v>4166</v>
      </c>
      <c r="I28" s="35" t="s">
        <v>4127</v>
      </c>
      <c r="J28" s="139">
        <v>29104391</v>
      </c>
      <c r="K28" s="35" t="s">
        <v>2438</v>
      </c>
      <c r="L28" s="35">
        <v>3447000</v>
      </c>
      <c r="M28" s="35" t="s">
        <v>3735</v>
      </c>
      <c r="N28" s="35" t="s">
        <v>4181</v>
      </c>
      <c r="O28" s="35">
        <v>3428</v>
      </c>
      <c r="P28" s="140">
        <v>43073</v>
      </c>
      <c r="Q28" s="140">
        <v>46724</v>
      </c>
      <c r="R28" s="62" t="s">
        <v>2440</v>
      </c>
      <c r="S28" s="35" t="s">
        <v>2441</v>
      </c>
      <c r="T28" s="35" t="s">
        <v>2443</v>
      </c>
      <c r="U28" s="35" t="s">
        <v>3058</v>
      </c>
      <c r="V28" s="35" t="s">
        <v>1919</v>
      </c>
      <c r="W28" s="35">
        <v>2564</v>
      </c>
      <c r="X28" s="143">
        <v>98975</v>
      </c>
      <c r="Y28" s="143">
        <v>95058.62</v>
      </c>
      <c r="Z28" s="69" t="s">
        <v>3744</v>
      </c>
      <c r="AA28" s="67">
        <v>43524</v>
      </c>
      <c r="AB28" s="147">
        <v>0.3840277777777778</v>
      </c>
      <c r="AC28" s="69"/>
      <c r="AD28" s="93"/>
      <c r="AE28" s="93"/>
      <c r="AF28" s="93"/>
      <c r="AG28" s="93"/>
      <c r="AH28" s="93"/>
      <c r="AI28" s="93"/>
      <c r="AJ28" s="93"/>
      <c r="AK28" s="93"/>
      <c r="AL28" s="93"/>
      <c r="AM28" s="145">
        <f t="shared" si="0"/>
        <v>0</v>
      </c>
      <c r="AN28" s="146">
        <f t="shared" si="1"/>
        <v>0</v>
      </c>
      <c r="AO28" s="82" t="s">
        <v>2455</v>
      </c>
    </row>
    <row r="29" spans="1:41" ht="69" customHeight="1">
      <c r="A29" s="35">
        <v>25</v>
      </c>
      <c r="B29" s="35" t="s">
        <v>15</v>
      </c>
      <c r="C29" s="35" t="s">
        <v>2</v>
      </c>
      <c r="D29" s="35">
        <v>2</v>
      </c>
      <c r="E29" s="35" t="s">
        <v>1891</v>
      </c>
      <c r="F29" s="35" t="s">
        <v>1896</v>
      </c>
      <c r="G29" s="35" t="s">
        <v>2502</v>
      </c>
      <c r="H29" s="35" t="s">
        <v>4166</v>
      </c>
      <c r="I29" s="35" t="s">
        <v>4127</v>
      </c>
      <c r="J29" s="139">
        <v>29104391</v>
      </c>
      <c r="K29" s="35" t="s">
        <v>2438</v>
      </c>
      <c r="L29" s="35">
        <v>3447000</v>
      </c>
      <c r="M29" s="35" t="s">
        <v>3735</v>
      </c>
      <c r="N29" s="35" t="s">
        <v>4181</v>
      </c>
      <c r="O29" s="35">
        <v>3428</v>
      </c>
      <c r="P29" s="140">
        <v>43073</v>
      </c>
      <c r="Q29" s="140">
        <v>46724</v>
      </c>
      <c r="R29" s="62" t="s">
        <v>2440</v>
      </c>
      <c r="S29" s="35" t="s">
        <v>2441</v>
      </c>
      <c r="T29" s="35" t="s">
        <v>2443</v>
      </c>
      <c r="U29" s="35" t="s">
        <v>3059</v>
      </c>
      <c r="V29" s="35" t="s">
        <v>1920</v>
      </c>
      <c r="W29" s="35">
        <v>2564</v>
      </c>
      <c r="X29" s="143">
        <v>99131.72</v>
      </c>
      <c r="Y29" s="143">
        <v>95004.03</v>
      </c>
      <c r="Z29" s="69" t="s">
        <v>4078</v>
      </c>
      <c r="AA29" s="67">
        <v>43662</v>
      </c>
      <c r="AB29" s="69" t="s">
        <v>3898</v>
      </c>
      <c r="AC29" s="69">
        <v>352</v>
      </c>
      <c r="AD29" s="82">
        <v>220</v>
      </c>
      <c r="AE29" s="82">
        <v>14.72</v>
      </c>
      <c r="AF29" s="82">
        <v>24</v>
      </c>
      <c r="AG29" s="95">
        <f>AE29*AC29*AF29*0.0036</f>
        <v>447.676416</v>
      </c>
      <c r="AH29" s="95">
        <f>AE29*AD29*AF29*0.0036</f>
        <v>279.79776000000004</v>
      </c>
      <c r="AI29" s="69">
        <v>30</v>
      </c>
      <c r="AJ29" s="35">
        <v>12</v>
      </c>
      <c r="AK29" s="35">
        <v>0.57</v>
      </c>
      <c r="AL29" s="35">
        <v>0.59</v>
      </c>
      <c r="AM29" s="117">
        <f t="shared" si="0"/>
        <v>91863.20056319998</v>
      </c>
      <c r="AN29" s="118">
        <f t="shared" si="1"/>
        <v>59429.044224</v>
      </c>
      <c r="AO29" s="82" t="s">
        <v>2455</v>
      </c>
    </row>
    <row r="30" spans="1:41" ht="36" customHeight="1">
      <c r="A30" s="35">
        <v>26</v>
      </c>
      <c r="B30" s="35" t="s">
        <v>15</v>
      </c>
      <c r="C30" s="35" t="s">
        <v>2</v>
      </c>
      <c r="D30" s="35">
        <v>2</v>
      </c>
      <c r="E30" s="35" t="s">
        <v>1892</v>
      </c>
      <c r="F30" s="35" t="s">
        <v>1897</v>
      </c>
      <c r="G30" s="35" t="s">
        <v>2502</v>
      </c>
      <c r="H30" s="35" t="s">
        <v>4166</v>
      </c>
      <c r="I30" s="35" t="s">
        <v>4127</v>
      </c>
      <c r="J30" s="139">
        <v>29104391</v>
      </c>
      <c r="K30" s="35" t="s">
        <v>2438</v>
      </c>
      <c r="L30" s="35">
        <v>3447000</v>
      </c>
      <c r="M30" s="35" t="s">
        <v>3735</v>
      </c>
      <c r="N30" s="35" t="s">
        <v>4181</v>
      </c>
      <c r="O30" s="35">
        <v>3428</v>
      </c>
      <c r="P30" s="140">
        <v>43073</v>
      </c>
      <c r="Q30" s="140">
        <v>46724</v>
      </c>
      <c r="R30" s="62" t="s">
        <v>2440</v>
      </c>
      <c r="S30" s="35" t="s">
        <v>2442</v>
      </c>
      <c r="T30" s="35" t="s">
        <v>2443</v>
      </c>
      <c r="U30" s="35" t="s">
        <v>3060</v>
      </c>
      <c r="V30" s="35" t="s">
        <v>1921</v>
      </c>
      <c r="W30" s="35">
        <v>2564</v>
      </c>
      <c r="X30" s="143">
        <v>99149.85</v>
      </c>
      <c r="Y30" s="143">
        <v>94986.46</v>
      </c>
      <c r="Z30" s="69" t="s">
        <v>3744</v>
      </c>
      <c r="AA30" s="67">
        <v>43524</v>
      </c>
      <c r="AB30" s="147">
        <v>0.38819444444444445</v>
      </c>
      <c r="AC30" s="69"/>
      <c r="AD30" s="93"/>
      <c r="AE30" s="93"/>
      <c r="AF30" s="93"/>
      <c r="AG30" s="93"/>
      <c r="AH30" s="93"/>
      <c r="AI30" s="93"/>
      <c r="AJ30" s="93"/>
      <c r="AK30" s="93"/>
      <c r="AL30" s="93"/>
      <c r="AM30" s="117">
        <f t="shared" si="0"/>
        <v>0</v>
      </c>
      <c r="AN30" s="118">
        <f t="shared" si="1"/>
        <v>0</v>
      </c>
      <c r="AO30" s="82" t="s">
        <v>2455</v>
      </c>
    </row>
    <row r="31" spans="1:41" ht="39" customHeight="1">
      <c r="A31" s="35">
        <v>27</v>
      </c>
      <c r="B31" s="35" t="s">
        <v>15</v>
      </c>
      <c r="C31" s="35" t="s">
        <v>2</v>
      </c>
      <c r="D31" s="35">
        <v>2</v>
      </c>
      <c r="E31" s="35" t="s">
        <v>1949</v>
      </c>
      <c r="F31" s="35" t="s">
        <v>1951</v>
      </c>
      <c r="G31" s="35" t="s">
        <v>2502</v>
      </c>
      <c r="H31" s="35" t="s">
        <v>4166</v>
      </c>
      <c r="I31" s="35" t="s">
        <v>4127</v>
      </c>
      <c r="J31" s="139">
        <v>29104391</v>
      </c>
      <c r="K31" s="35" t="s">
        <v>2438</v>
      </c>
      <c r="L31" s="35">
        <v>3447000</v>
      </c>
      <c r="M31" s="35" t="s">
        <v>3735</v>
      </c>
      <c r="N31" s="35" t="s">
        <v>4181</v>
      </c>
      <c r="O31" s="35">
        <v>3428</v>
      </c>
      <c r="P31" s="140">
        <v>43073</v>
      </c>
      <c r="Q31" s="140">
        <v>46724</v>
      </c>
      <c r="R31" s="62" t="s">
        <v>2440</v>
      </c>
      <c r="S31" s="35" t="s">
        <v>2442</v>
      </c>
      <c r="T31" s="35" t="s">
        <v>2443</v>
      </c>
      <c r="U31" s="35" t="s">
        <v>3061</v>
      </c>
      <c r="V31" s="35" t="s">
        <v>1922</v>
      </c>
      <c r="W31" s="35">
        <v>2563</v>
      </c>
      <c r="X31" s="143">
        <v>99234.05</v>
      </c>
      <c r="Y31" s="143">
        <v>94892.1</v>
      </c>
      <c r="Z31" s="69" t="s">
        <v>3744</v>
      </c>
      <c r="AA31" s="67">
        <v>43524</v>
      </c>
      <c r="AB31" s="147">
        <v>0.3979166666666667</v>
      </c>
      <c r="AC31" s="69"/>
      <c r="AD31" s="93"/>
      <c r="AE31" s="93"/>
      <c r="AF31" s="93"/>
      <c r="AG31" s="93"/>
      <c r="AH31" s="93"/>
      <c r="AI31" s="93"/>
      <c r="AJ31" s="93"/>
      <c r="AK31" s="93"/>
      <c r="AL31" s="93"/>
      <c r="AM31" s="117">
        <f t="shared" si="0"/>
        <v>0</v>
      </c>
      <c r="AN31" s="118">
        <f t="shared" si="1"/>
        <v>0</v>
      </c>
      <c r="AO31" s="82" t="s">
        <v>2457</v>
      </c>
    </row>
    <row r="32" spans="1:41" ht="12.75" customHeight="1">
      <c r="A32" s="35">
        <v>28</v>
      </c>
      <c r="B32" s="35" t="s">
        <v>15</v>
      </c>
      <c r="C32" s="35" t="s">
        <v>2</v>
      </c>
      <c r="D32" s="35">
        <v>2</v>
      </c>
      <c r="E32" s="69" t="s">
        <v>1898</v>
      </c>
      <c r="F32" s="142" t="s">
        <v>1900</v>
      </c>
      <c r="G32" s="35" t="s">
        <v>2502</v>
      </c>
      <c r="H32" s="35" t="s">
        <v>4166</v>
      </c>
      <c r="I32" s="35" t="s">
        <v>4127</v>
      </c>
      <c r="J32" s="139">
        <v>29104391</v>
      </c>
      <c r="K32" s="35" t="s">
        <v>2438</v>
      </c>
      <c r="L32" s="35">
        <v>3447000</v>
      </c>
      <c r="M32" s="35" t="s">
        <v>3735</v>
      </c>
      <c r="N32" s="35" t="s">
        <v>4181</v>
      </c>
      <c r="O32" s="35">
        <v>3428</v>
      </c>
      <c r="P32" s="140">
        <v>43073</v>
      </c>
      <c r="Q32" s="140">
        <v>46724</v>
      </c>
      <c r="R32" s="62" t="s">
        <v>2440</v>
      </c>
      <c r="S32" s="35" t="s">
        <v>2442</v>
      </c>
      <c r="T32" s="35" t="s">
        <v>2443</v>
      </c>
      <c r="U32" s="142" t="s">
        <v>3062</v>
      </c>
      <c r="V32" s="142" t="s">
        <v>1923</v>
      </c>
      <c r="W32" s="142">
        <v>2564</v>
      </c>
      <c r="X32" s="143">
        <v>99315.78</v>
      </c>
      <c r="Y32" s="143">
        <v>94770.91</v>
      </c>
      <c r="Z32" s="69" t="s">
        <v>3741</v>
      </c>
      <c r="AA32" s="176"/>
      <c r="AB32" s="176"/>
      <c r="AC32" s="176"/>
      <c r="AD32" s="176"/>
      <c r="AE32" s="176"/>
      <c r="AF32" s="176"/>
      <c r="AG32" s="95"/>
      <c r="AH32" s="95"/>
      <c r="AI32" s="69"/>
      <c r="AJ32" s="35"/>
      <c r="AK32" s="69"/>
      <c r="AL32" s="69"/>
      <c r="AM32" s="145">
        <f t="shared" si="0"/>
        <v>0</v>
      </c>
      <c r="AN32" s="146">
        <f t="shared" si="1"/>
        <v>0</v>
      </c>
      <c r="AO32" s="82" t="s">
        <v>2457</v>
      </c>
    </row>
    <row r="33" spans="1:41" ht="12.75" customHeight="1">
      <c r="A33" s="35">
        <v>29</v>
      </c>
      <c r="B33" s="35" t="s">
        <v>15</v>
      </c>
      <c r="C33" s="35" t="s">
        <v>2</v>
      </c>
      <c r="D33" s="35">
        <v>2</v>
      </c>
      <c r="E33" s="69" t="s">
        <v>1899</v>
      </c>
      <c r="F33" s="142" t="s">
        <v>1901</v>
      </c>
      <c r="G33" s="142" t="s">
        <v>2489</v>
      </c>
      <c r="H33" s="35" t="s">
        <v>4166</v>
      </c>
      <c r="I33" s="35" t="s">
        <v>4127</v>
      </c>
      <c r="J33" s="139">
        <v>29104391</v>
      </c>
      <c r="K33" s="35" t="s">
        <v>2438</v>
      </c>
      <c r="L33" s="35">
        <v>3447000</v>
      </c>
      <c r="M33" s="35" t="s">
        <v>3735</v>
      </c>
      <c r="N33" s="35" t="s">
        <v>4181</v>
      </c>
      <c r="O33" s="35">
        <v>3428</v>
      </c>
      <c r="P33" s="140">
        <v>43073</v>
      </c>
      <c r="Q33" s="140">
        <v>46724</v>
      </c>
      <c r="R33" s="62" t="s">
        <v>2440</v>
      </c>
      <c r="S33" s="35" t="s">
        <v>2441</v>
      </c>
      <c r="T33" s="35" t="s">
        <v>2443</v>
      </c>
      <c r="U33" s="142" t="s">
        <v>3063</v>
      </c>
      <c r="V33" s="142" t="s">
        <v>1924</v>
      </c>
      <c r="W33" s="35">
        <v>2563</v>
      </c>
      <c r="X33" s="143">
        <v>99678.7</v>
      </c>
      <c r="Y33" s="143">
        <v>94697.82</v>
      </c>
      <c r="Z33" s="69" t="s">
        <v>3741</v>
      </c>
      <c r="AA33" s="176"/>
      <c r="AB33" s="176"/>
      <c r="AC33" s="176"/>
      <c r="AD33" s="176"/>
      <c r="AE33" s="176"/>
      <c r="AF33" s="176"/>
      <c r="AG33" s="95"/>
      <c r="AH33" s="95"/>
      <c r="AI33" s="69"/>
      <c r="AJ33" s="35"/>
      <c r="AK33" s="69"/>
      <c r="AL33" s="69"/>
      <c r="AM33" s="145">
        <f t="shared" si="0"/>
        <v>0</v>
      </c>
      <c r="AN33" s="146">
        <f t="shared" si="1"/>
        <v>0</v>
      </c>
      <c r="AO33" s="82" t="s">
        <v>2457</v>
      </c>
    </row>
    <row r="34" spans="1:41" ht="46.5" customHeight="1">
      <c r="A34" s="35">
        <v>30</v>
      </c>
      <c r="B34" s="35" t="s">
        <v>15</v>
      </c>
      <c r="C34" s="35" t="s">
        <v>2</v>
      </c>
      <c r="D34" s="35">
        <v>2</v>
      </c>
      <c r="E34" s="35" t="s">
        <v>1883</v>
      </c>
      <c r="F34" s="35" t="s">
        <v>1901</v>
      </c>
      <c r="G34" s="142" t="s">
        <v>2489</v>
      </c>
      <c r="H34" s="35" t="s">
        <v>4166</v>
      </c>
      <c r="I34" s="35" t="s">
        <v>4127</v>
      </c>
      <c r="J34" s="139">
        <v>29104391</v>
      </c>
      <c r="K34" s="35" t="s">
        <v>2438</v>
      </c>
      <c r="L34" s="35">
        <v>3447000</v>
      </c>
      <c r="M34" s="35" t="s">
        <v>3735</v>
      </c>
      <c r="N34" s="35" t="s">
        <v>4181</v>
      </c>
      <c r="O34" s="35">
        <v>3428</v>
      </c>
      <c r="P34" s="140">
        <v>43073</v>
      </c>
      <c r="Q34" s="140">
        <v>46724</v>
      </c>
      <c r="R34" s="62" t="s">
        <v>2440</v>
      </c>
      <c r="S34" s="35" t="s">
        <v>2442</v>
      </c>
      <c r="T34" s="35" t="s">
        <v>2443</v>
      </c>
      <c r="U34" s="35" t="s">
        <v>3064</v>
      </c>
      <c r="V34" s="35" t="s">
        <v>1925</v>
      </c>
      <c r="W34" s="35">
        <v>2562</v>
      </c>
      <c r="X34" s="143">
        <v>99744.15</v>
      </c>
      <c r="Y34" s="143">
        <v>94700.59</v>
      </c>
      <c r="Z34" s="69" t="s">
        <v>3942</v>
      </c>
      <c r="AA34" s="176"/>
      <c r="AB34" s="176"/>
      <c r="AC34" s="176"/>
      <c r="AD34" s="176"/>
      <c r="AE34" s="176"/>
      <c r="AF34" s="176"/>
      <c r="AG34" s="95"/>
      <c r="AH34" s="95"/>
      <c r="AI34" s="69"/>
      <c r="AJ34" s="35"/>
      <c r="AK34" s="69"/>
      <c r="AL34" s="69"/>
      <c r="AM34" s="177">
        <v>520.3981016212165</v>
      </c>
      <c r="AN34" s="118">
        <v>312.64683658201693</v>
      </c>
      <c r="AO34" s="82" t="s">
        <v>2413</v>
      </c>
    </row>
    <row r="35" spans="1:41" ht="12.75" customHeight="1">
      <c r="A35" s="35">
        <v>31</v>
      </c>
      <c r="B35" s="35" t="s">
        <v>15</v>
      </c>
      <c r="C35" s="35" t="s">
        <v>2</v>
      </c>
      <c r="D35" s="35">
        <v>2</v>
      </c>
      <c r="E35" s="69" t="s">
        <v>1902</v>
      </c>
      <c r="F35" s="142" t="s">
        <v>1901</v>
      </c>
      <c r="G35" s="142" t="s">
        <v>2489</v>
      </c>
      <c r="H35" s="35" t="s">
        <v>4166</v>
      </c>
      <c r="I35" s="35" t="s">
        <v>4127</v>
      </c>
      <c r="J35" s="139">
        <v>29104391</v>
      </c>
      <c r="K35" s="35" t="s">
        <v>2438</v>
      </c>
      <c r="L35" s="35">
        <v>3447000</v>
      </c>
      <c r="M35" s="35" t="s">
        <v>3735</v>
      </c>
      <c r="N35" s="35" t="s">
        <v>4181</v>
      </c>
      <c r="O35" s="35">
        <v>3428</v>
      </c>
      <c r="P35" s="140">
        <v>43073</v>
      </c>
      <c r="Q35" s="140">
        <v>46724</v>
      </c>
      <c r="R35" s="62" t="s">
        <v>2440</v>
      </c>
      <c r="S35" s="35" t="s">
        <v>2441</v>
      </c>
      <c r="T35" s="35" t="s">
        <v>2443</v>
      </c>
      <c r="U35" s="142" t="s">
        <v>3065</v>
      </c>
      <c r="V35" s="142" t="s">
        <v>1926</v>
      </c>
      <c r="W35" s="35">
        <v>2562</v>
      </c>
      <c r="X35" s="143">
        <v>99748.76</v>
      </c>
      <c r="Y35" s="143">
        <v>94708.92</v>
      </c>
      <c r="Z35" s="69" t="s">
        <v>3741</v>
      </c>
      <c r="AA35" s="176"/>
      <c r="AB35" s="176"/>
      <c r="AC35" s="176"/>
      <c r="AD35" s="176"/>
      <c r="AE35" s="176"/>
      <c r="AF35" s="176"/>
      <c r="AG35" s="95"/>
      <c r="AH35" s="95"/>
      <c r="AI35" s="69"/>
      <c r="AJ35" s="35"/>
      <c r="AK35" s="69"/>
      <c r="AL35" s="69"/>
      <c r="AM35" s="145">
        <f t="shared" si="0"/>
        <v>0</v>
      </c>
      <c r="AN35" s="146">
        <f t="shared" si="1"/>
        <v>0</v>
      </c>
      <c r="AO35" s="82" t="s">
        <v>2457</v>
      </c>
    </row>
    <row r="36" spans="1:41" ht="12.75" customHeight="1">
      <c r="A36" s="35">
        <v>32</v>
      </c>
      <c r="B36" s="35" t="s">
        <v>15</v>
      </c>
      <c r="C36" s="35" t="s">
        <v>2</v>
      </c>
      <c r="D36" s="35">
        <v>2</v>
      </c>
      <c r="E36" s="69" t="s">
        <v>1903</v>
      </c>
      <c r="F36" s="142" t="s">
        <v>1905</v>
      </c>
      <c r="G36" s="142" t="s">
        <v>2489</v>
      </c>
      <c r="H36" s="35" t="s">
        <v>4166</v>
      </c>
      <c r="I36" s="35" t="s">
        <v>4127</v>
      </c>
      <c r="J36" s="139">
        <v>29104391</v>
      </c>
      <c r="K36" s="35" t="s">
        <v>2438</v>
      </c>
      <c r="L36" s="35">
        <v>3447000</v>
      </c>
      <c r="M36" s="35" t="s">
        <v>3735</v>
      </c>
      <c r="N36" s="35" t="s">
        <v>4181</v>
      </c>
      <c r="O36" s="35">
        <v>3428</v>
      </c>
      <c r="P36" s="140">
        <v>43073</v>
      </c>
      <c r="Q36" s="140">
        <v>46724</v>
      </c>
      <c r="R36" s="62" t="s">
        <v>2440</v>
      </c>
      <c r="S36" s="35" t="s">
        <v>2441</v>
      </c>
      <c r="T36" s="35" t="s">
        <v>2443</v>
      </c>
      <c r="U36" s="142" t="s">
        <v>3066</v>
      </c>
      <c r="V36" s="142" t="s">
        <v>1927</v>
      </c>
      <c r="W36" s="142">
        <v>2561</v>
      </c>
      <c r="X36" s="143">
        <v>99800.39</v>
      </c>
      <c r="Y36" s="143">
        <v>94726.49</v>
      </c>
      <c r="Z36" s="69" t="s">
        <v>3741</v>
      </c>
      <c r="AA36" s="176"/>
      <c r="AB36" s="176"/>
      <c r="AC36" s="176"/>
      <c r="AD36" s="176"/>
      <c r="AE36" s="176"/>
      <c r="AF36" s="176"/>
      <c r="AG36" s="95"/>
      <c r="AH36" s="95"/>
      <c r="AI36" s="69"/>
      <c r="AJ36" s="35"/>
      <c r="AK36" s="69"/>
      <c r="AL36" s="69"/>
      <c r="AM36" s="145">
        <f t="shared" si="0"/>
        <v>0</v>
      </c>
      <c r="AN36" s="146">
        <f t="shared" si="1"/>
        <v>0</v>
      </c>
      <c r="AO36" s="82" t="s">
        <v>2457</v>
      </c>
    </row>
    <row r="37" spans="1:41" ht="12.75" customHeight="1">
      <c r="A37" s="35">
        <v>33</v>
      </c>
      <c r="B37" s="35" t="s">
        <v>15</v>
      </c>
      <c r="C37" s="35" t="s">
        <v>2</v>
      </c>
      <c r="D37" s="35">
        <v>2</v>
      </c>
      <c r="E37" s="69" t="s">
        <v>1904</v>
      </c>
      <c r="F37" s="142" t="s">
        <v>1906</v>
      </c>
      <c r="G37" s="142" t="s">
        <v>2489</v>
      </c>
      <c r="H37" s="35" t="s">
        <v>4166</v>
      </c>
      <c r="I37" s="35" t="s">
        <v>4127</v>
      </c>
      <c r="J37" s="139">
        <v>29104391</v>
      </c>
      <c r="K37" s="35" t="s">
        <v>2438</v>
      </c>
      <c r="L37" s="35">
        <v>3447000</v>
      </c>
      <c r="M37" s="35" t="s">
        <v>3735</v>
      </c>
      <c r="N37" s="35" t="s">
        <v>4181</v>
      </c>
      <c r="O37" s="35">
        <v>3428</v>
      </c>
      <c r="P37" s="140">
        <v>43073</v>
      </c>
      <c r="Q37" s="140">
        <v>46724</v>
      </c>
      <c r="R37" s="62" t="s">
        <v>2440</v>
      </c>
      <c r="S37" s="35" t="s">
        <v>2442</v>
      </c>
      <c r="T37" s="35" t="s">
        <v>2443</v>
      </c>
      <c r="U37" s="142" t="s">
        <v>3067</v>
      </c>
      <c r="V37" s="142" t="s">
        <v>1928</v>
      </c>
      <c r="W37" s="142">
        <v>2560</v>
      </c>
      <c r="X37" s="143">
        <v>99892.57</v>
      </c>
      <c r="Y37" s="143">
        <v>94742.83</v>
      </c>
      <c r="Z37" s="69" t="s">
        <v>3741</v>
      </c>
      <c r="AA37" s="176"/>
      <c r="AB37" s="176"/>
      <c r="AC37" s="176"/>
      <c r="AD37" s="176"/>
      <c r="AE37" s="176"/>
      <c r="AF37" s="176"/>
      <c r="AG37" s="95"/>
      <c r="AH37" s="95"/>
      <c r="AI37" s="69"/>
      <c r="AJ37" s="35"/>
      <c r="AK37" s="69"/>
      <c r="AL37" s="69"/>
      <c r="AM37" s="145">
        <f t="shared" si="0"/>
        <v>0</v>
      </c>
      <c r="AN37" s="146">
        <f t="shared" si="1"/>
        <v>0</v>
      </c>
      <c r="AO37" s="82" t="s">
        <v>2457</v>
      </c>
    </row>
    <row r="38" spans="1:41" ht="54.75" customHeight="1">
      <c r="A38" s="35">
        <v>34</v>
      </c>
      <c r="B38" s="35" t="s">
        <v>15</v>
      </c>
      <c r="C38" s="35" t="s">
        <v>2</v>
      </c>
      <c r="D38" s="35">
        <v>2</v>
      </c>
      <c r="E38" s="35" t="s">
        <v>1884</v>
      </c>
      <c r="F38" s="35" t="s">
        <v>1907</v>
      </c>
      <c r="G38" s="142" t="s">
        <v>2489</v>
      </c>
      <c r="H38" s="35" t="s">
        <v>4166</v>
      </c>
      <c r="I38" s="35" t="s">
        <v>4127</v>
      </c>
      <c r="J38" s="139">
        <v>29104391</v>
      </c>
      <c r="K38" s="35" t="s">
        <v>2438</v>
      </c>
      <c r="L38" s="35">
        <v>3447000</v>
      </c>
      <c r="M38" s="35" t="s">
        <v>3735</v>
      </c>
      <c r="N38" s="35" t="s">
        <v>4181</v>
      </c>
      <c r="O38" s="35">
        <v>3428</v>
      </c>
      <c r="P38" s="140">
        <v>43073</v>
      </c>
      <c r="Q38" s="140">
        <v>46724</v>
      </c>
      <c r="R38" s="62" t="s">
        <v>2440</v>
      </c>
      <c r="S38" s="35" t="s">
        <v>2442</v>
      </c>
      <c r="T38" s="35" t="s">
        <v>2443</v>
      </c>
      <c r="U38" s="35" t="s">
        <v>3068</v>
      </c>
      <c r="V38" s="35" t="s">
        <v>1929</v>
      </c>
      <c r="W38" s="35">
        <v>2561</v>
      </c>
      <c r="X38" s="143">
        <v>100312.64</v>
      </c>
      <c r="Y38" s="143">
        <v>94557.5</v>
      </c>
      <c r="Z38" s="69" t="s">
        <v>4079</v>
      </c>
      <c r="AA38" s="104">
        <v>43662</v>
      </c>
      <c r="AB38" s="82" t="s">
        <v>2535</v>
      </c>
      <c r="AC38" s="82">
        <v>390</v>
      </c>
      <c r="AD38" s="82">
        <v>156</v>
      </c>
      <c r="AE38" s="82">
        <v>3.37</v>
      </c>
      <c r="AF38" s="82">
        <v>24</v>
      </c>
      <c r="AG38" s="95">
        <f>AE38*AC38*AF38*0.0036</f>
        <v>113.55551999999999</v>
      </c>
      <c r="AH38" s="95">
        <f>AE38*AD38*AF38*0.0036</f>
        <v>45.422208</v>
      </c>
      <c r="AI38" s="69">
        <v>30</v>
      </c>
      <c r="AJ38" s="35">
        <v>12</v>
      </c>
      <c r="AK38" s="82">
        <v>0.72</v>
      </c>
      <c r="AL38" s="82">
        <v>0.88</v>
      </c>
      <c r="AM38" s="117">
        <f t="shared" si="0"/>
        <v>29433.590783999996</v>
      </c>
      <c r="AN38" s="118">
        <f t="shared" si="1"/>
        <v>14389.7554944</v>
      </c>
      <c r="AO38" s="82" t="s">
        <v>2457</v>
      </c>
    </row>
    <row r="39" spans="1:41" ht="30.75" customHeight="1">
      <c r="A39" s="35">
        <v>35</v>
      </c>
      <c r="B39" s="35" t="s">
        <v>15</v>
      </c>
      <c r="C39" s="35" t="s">
        <v>2</v>
      </c>
      <c r="D39" s="35">
        <v>2</v>
      </c>
      <c r="E39" s="35" t="s">
        <v>1908</v>
      </c>
      <c r="F39" s="35" t="s">
        <v>1909</v>
      </c>
      <c r="G39" s="142" t="s">
        <v>2489</v>
      </c>
      <c r="H39" s="35" t="s">
        <v>4166</v>
      </c>
      <c r="I39" s="35" t="s">
        <v>4127</v>
      </c>
      <c r="J39" s="139">
        <v>29104391</v>
      </c>
      <c r="K39" s="35" t="s">
        <v>2438</v>
      </c>
      <c r="L39" s="35">
        <v>3447000</v>
      </c>
      <c r="M39" s="35" t="s">
        <v>3735</v>
      </c>
      <c r="N39" s="35" t="s">
        <v>4181</v>
      </c>
      <c r="O39" s="35">
        <v>3428</v>
      </c>
      <c r="P39" s="140">
        <v>43073</v>
      </c>
      <c r="Q39" s="140">
        <v>46724</v>
      </c>
      <c r="R39" s="62" t="s">
        <v>2440</v>
      </c>
      <c r="S39" s="35" t="s">
        <v>2442</v>
      </c>
      <c r="T39" s="35" t="s">
        <v>2443</v>
      </c>
      <c r="U39" s="35" t="s">
        <v>3069</v>
      </c>
      <c r="V39" s="35" t="s">
        <v>1930</v>
      </c>
      <c r="W39" s="35">
        <v>2561</v>
      </c>
      <c r="X39" s="143">
        <v>100052.06</v>
      </c>
      <c r="Y39" s="143">
        <v>94775.51</v>
      </c>
      <c r="Z39" s="69" t="s">
        <v>3744</v>
      </c>
      <c r="AA39" s="67">
        <v>43524</v>
      </c>
      <c r="AB39" s="147">
        <v>0.425</v>
      </c>
      <c r="AC39" s="69"/>
      <c r="AD39" s="93"/>
      <c r="AE39" s="93"/>
      <c r="AF39" s="93"/>
      <c r="AG39" s="93"/>
      <c r="AH39" s="93"/>
      <c r="AI39" s="93"/>
      <c r="AJ39" s="93"/>
      <c r="AK39" s="93"/>
      <c r="AL39" s="93"/>
      <c r="AM39" s="117">
        <f t="shared" si="0"/>
        <v>0</v>
      </c>
      <c r="AN39" s="118">
        <f t="shared" si="1"/>
        <v>0</v>
      </c>
      <c r="AO39" s="82" t="s">
        <v>2457</v>
      </c>
    </row>
    <row r="40" spans="1:41" ht="30.75" customHeight="1">
      <c r="A40" s="35">
        <v>36</v>
      </c>
      <c r="B40" s="35" t="s">
        <v>15</v>
      </c>
      <c r="C40" s="35" t="s">
        <v>2</v>
      </c>
      <c r="D40" s="35">
        <v>2</v>
      </c>
      <c r="E40" s="35" t="s">
        <v>1885</v>
      </c>
      <c r="F40" s="35" t="s">
        <v>1952</v>
      </c>
      <c r="G40" s="142" t="s">
        <v>2489</v>
      </c>
      <c r="H40" s="35" t="s">
        <v>4166</v>
      </c>
      <c r="I40" s="35" t="s">
        <v>4127</v>
      </c>
      <c r="J40" s="139">
        <v>29104391</v>
      </c>
      <c r="K40" s="35" t="s">
        <v>2438</v>
      </c>
      <c r="L40" s="35">
        <v>3447000</v>
      </c>
      <c r="M40" s="35" t="s">
        <v>3735</v>
      </c>
      <c r="N40" s="35" t="s">
        <v>4181</v>
      </c>
      <c r="O40" s="35">
        <v>3428</v>
      </c>
      <c r="P40" s="140">
        <v>43073</v>
      </c>
      <c r="Q40" s="140">
        <v>46724</v>
      </c>
      <c r="R40" s="62" t="s">
        <v>2440</v>
      </c>
      <c r="S40" s="35" t="s">
        <v>2441</v>
      </c>
      <c r="T40" s="35" t="s">
        <v>2443</v>
      </c>
      <c r="U40" s="35" t="s">
        <v>3070</v>
      </c>
      <c r="V40" s="35" t="s">
        <v>1931</v>
      </c>
      <c r="W40" s="35">
        <v>2560</v>
      </c>
      <c r="X40" s="143">
        <v>100742.56</v>
      </c>
      <c r="Y40" s="143">
        <v>94916.1</v>
      </c>
      <c r="Z40" s="69" t="s">
        <v>3744</v>
      </c>
      <c r="AA40" s="67">
        <v>43524</v>
      </c>
      <c r="AB40" s="147">
        <v>0.44097222222222227</v>
      </c>
      <c r="AC40" s="69"/>
      <c r="AD40" s="93"/>
      <c r="AE40" s="93"/>
      <c r="AF40" s="93"/>
      <c r="AG40" s="93"/>
      <c r="AH40" s="93"/>
      <c r="AI40" s="93"/>
      <c r="AJ40" s="93"/>
      <c r="AK40" s="93"/>
      <c r="AL40" s="93"/>
      <c r="AM40" s="117">
        <f t="shared" si="0"/>
        <v>0</v>
      </c>
      <c r="AN40" s="118">
        <f t="shared" si="1"/>
        <v>0</v>
      </c>
      <c r="AO40" s="82" t="s">
        <v>2457</v>
      </c>
    </row>
    <row r="41" spans="1:41" ht="12.75" customHeight="1">
      <c r="A41" s="35">
        <v>37</v>
      </c>
      <c r="B41" s="35" t="s">
        <v>15</v>
      </c>
      <c r="C41" s="35" t="s">
        <v>2</v>
      </c>
      <c r="D41" s="35">
        <v>2</v>
      </c>
      <c r="E41" s="35" t="s">
        <v>1910</v>
      </c>
      <c r="F41" s="35" t="s">
        <v>1912</v>
      </c>
      <c r="G41" s="142" t="s">
        <v>2489</v>
      </c>
      <c r="H41" s="35" t="s">
        <v>4166</v>
      </c>
      <c r="I41" s="35" t="s">
        <v>4127</v>
      </c>
      <c r="J41" s="139">
        <v>29104391</v>
      </c>
      <c r="K41" s="35" t="s">
        <v>2438</v>
      </c>
      <c r="L41" s="35">
        <v>3447000</v>
      </c>
      <c r="M41" s="35" t="s">
        <v>3735</v>
      </c>
      <c r="N41" s="35" t="s">
        <v>4181</v>
      </c>
      <c r="O41" s="35">
        <v>3428</v>
      </c>
      <c r="P41" s="140">
        <v>43073</v>
      </c>
      <c r="Q41" s="140">
        <v>46724</v>
      </c>
      <c r="R41" s="62" t="s">
        <v>2440</v>
      </c>
      <c r="S41" s="35" t="s">
        <v>2442</v>
      </c>
      <c r="T41" s="35" t="s">
        <v>2443</v>
      </c>
      <c r="U41" s="35" t="s">
        <v>3071</v>
      </c>
      <c r="V41" s="35" t="s">
        <v>1932</v>
      </c>
      <c r="W41" s="35">
        <v>2561</v>
      </c>
      <c r="X41" s="143">
        <v>100670.34</v>
      </c>
      <c r="Y41" s="143">
        <v>94844.26</v>
      </c>
      <c r="Z41" s="69" t="s">
        <v>3741</v>
      </c>
      <c r="AA41" s="176"/>
      <c r="AB41" s="176"/>
      <c r="AC41" s="176"/>
      <c r="AD41" s="176"/>
      <c r="AE41" s="176"/>
      <c r="AF41" s="176"/>
      <c r="AG41" s="95"/>
      <c r="AH41" s="95"/>
      <c r="AI41" s="69"/>
      <c r="AJ41" s="35"/>
      <c r="AK41" s="69"/>
      <c r="AL41" s="69"/>
      <c r="AM41" s="145">
        <f t="shared" si="0"/>
        <v>0</v>
      </c>
      <c r="AN41" s="146">
        <f t="shared" si="1"/>
        <v>0</v>
      </c>
      <c r="AO41" s="82" t="s">
        <v>2457</v>
      </c>
    </row>
    <row r="42" spans="1:41" ht="12.75" customHeight="1">
      <c r="A42" s="35">
        <v>38</v>
      </c>
      <c r="B42" s="35" t="s">
        <v>15</v>
      </c>
      <c r="C42" s="35" t="s">
        <v>2</v>
      </c>
      <c r="D42" s="35">
        <v>2</v>
      </c>
      <c r="E42" s="35" t="s">
        <v>1911</v>
      </c>
      <c r="F42" s="35" t="s">
        <v>1913</v>
      </c>
      <c r="G42" s="142" t="s">
        <v>2489</v>
      </c>
      <c r="H42" s="35" t="s">
        <v>4166</v>
      </c>
      <c r="I42" s="35" t="s">
        <v>4127</v>
      </c>
      <c r="J42" s="139">
        <v>29104391</v>
      </c>
      <c r="K42" s="35" t="s">
        <v>2438</v>
      </c>
      <c r="L42" s="35">
        <v>3447000</v>
      </c>
      <c r="M42" s="35" t="s">
        <v>3735</v>
      </c>
      <c r="N42" s="35" t="s">
        <v>4181</v>
      </c>
      <c r="O42" s="35">
        <v>3428</v>
      </c>
      <c r="P42" s="140">
        <v>43073</v>
      </c>
      <c r="Q42" s="140">
        <v>46724</v>
      </c>
      <c r="R42" s="62" t="s">
        <v>2440</v>
      </c>
      <c r="S42" s="35" t="s">
        <v>2441</v>
      </c>
      <c r="T42" s="35" t="s">
        <v>2443</v>
      </c>
      <c r="U42" s="35" t="s">
        <v>3072</v>
      </c>
      <c r="V42" s="35" t="s">
        <v>1933</v>
      </c>
      <c r="W42" s="35">
        <v>2561</v>
      </c>
      <c r="X42" s="143">
        <v>100685.71</v>
      </c>
      <c r="Y42" s="143">
        <v>94873.24</v>
      </c>
      <c r="Z42" s="69" t="s">
        <v>3741</v>
      </c>
      <c r="AA42" s="176"/>
      <c r="AB42" s="176"/>
      <c r="AC42" s="176"/>
      <c r="AD42" s="176"/>
      <c r="AE42" s="176"/>
      <c r="AF42" s="176"/>
      <c r="AG42" s="95"/>
      <c r="AH42" s="95"/>
      <c r="AI42" s="69"/>
      <c r="AJ42" s="35"/>
      <c r="AK42" s="69"/>
      <c r="AL42" s="69"/>
      <c r="AM42" s="145">
        <f t="shared" si="0"/>
        <v>0</v>
      </c>
      <c r="AN42" s="146">
        <f t="shared" si="1"/>
        <v>0</v>
      </c>
      <c r="AO42" s="82" t="s">
        <v>2457</v>
      </c>
    </row>
    <row r="43" spans="1:41" ht="12.75" customHeight="1">
      <c r="A43" s="215" t="s">
        <v>2414</v>
      </c>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119">
        <f>AM24+AM25+AM26+AM30+AM31+AM34+AM38+AM39+AM40+AM29</f>
        <v>121817.18944882118</v>
      </c>
      <c r="AN43" s="119">
        <f>AN24+AN25+AN26+AN30+AN31+AN34+AN38+AN39+AN40+AN29</f>
        <v>74131.44655498202</v>
      </c>
      <c r="AO43" s="176"/>
    </row>
    <row r="44" spans="1:43" ht="12.75" customHeight="1">
      <c r="A44" s="213" t="s">
        <v>2415</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73">
        <f>SUM(AM23:AM42)</f>
        <v>1015520.7076568212</v>
      </c>
      <c r="AN44" s="73">
        <f>SUM(AN23:AN42)</f>
        <v>662715.9222029821</v>
      </c>
      <c r="AO44" s="176"/>
      <c r="AP44" s="101"/>
      <c r="AQ44" s="101"/>
    </row>
    <row r="45" spans="1:41" ht="43.5" customHeight="1">
      <c r="A45" s="35">
        <v>39</v>
      </c>
      <c r="B45" s="35" t="s">
        <v>590</v>
      </c>
      <c r="C45" s="35" t="s">
        <v>2</v>
      </c>
      <c r="D45" s="35">
        <v>2</v>
      </c>
      <c r="E45" s="35" t="s">
        <v>1154</v>
      </c>
      <c r="F45" s="35" t="s">
        <v>1177</v>
      </c>
      <c r="G45" s="35" t="s">
        <v>2504</v>
      </c>
      <c r="H45" s="35" t="s">
        <v>4166</v>
      </c>
      <c r="I45" s="35" t="s">
        <v>4127</v>
      </c>
      <c r="J45" s="139">
        <v>29104391</v>
      </c>
      <c r="K45" s="35" t="s">
        <v>2438</v>
      </c>
      <c r="L45" s="35">
        <v>3447000</v>
      </c>
      <c r="M45" s="35" t="s">
        <v>3735</v>
      </c>
      <c r="N45" s="35" t="s">
        <v>4181</v>
      </c>
      <c r="O45" s="35">
        <v>3428</v>
      </c>
      <c r="P45" s="140">
        <v>43073</v>
      </c>
      <c r="Q45" s="140">
        <v>46724</v>
      </c>
      <c r="R45" s="62" t="s">
        <v>2440</v>
      </c>
      <c r="S45" s="35" t="s">
        <v>2442</v>
      </c>
      <c r="T45" s="35" t="s">
        <v>2443</v>
      </c>
      <c r="U45" s="35" t="s">
        <v>3073</v>
      </c>
      <c r="V45" s="35" t="s">
        <v>1953</v>
      </c>
      <c r="W45" s="35">
        <v>2574</v>
      </c>
      <c r="X45" s="143">
        <v>100931.4</v>
      </c>
      <c r="Y45" s="143">
        <v>97994.99</v>
      </c>
      <c r="Z45" s="69" t="s">
        <v>3744</v>
      </c>
      <c r="AA45" s="67">
        <v>43524</v>
      </c>
      <c r="AB45" s="147">
        <v>0.4597222222222222</v>
      </c>
      <c r="AC45" s="69"/>
      <c r="AD45" s="93"/>
      <c r="AE45" s="93"/>
      <c r="AF45" s="93"/>
      <c r="AG45" s="93"/>
      <c r="AH45" s="93"/>
      <c r="AI45" s="93"/>
      <c r="AJ45" s="93"/>
      <c r="AK45" s="93"/>
      <c r="AL45" s="93"/>
      <c r="AM45" s="117">
        <f t="shared" si="0"/>
        <v>0</v>
      </c>
      <c r="AN45" s="118">
        <f t="shared" si="1"/>
        <v>0</v>
      </c>
      <c r="AO45" s="82" t="s">
        <v>2455</v>
      </c>
    </row>
    <row r="46" spans="1:41" ht="45" customHeight="1">
      <c r="A46" s="35">
        <v>40</v>
      </c>
      <c r="B46" s="35" t="s">
        <v>590</v>
      </c>
      <c r="C46" s="35" t="s">
        <v>2</v>
      </c>
      <c r="D46" s="35">
        <v>2</v>
      </c>
      <c r="E46" s="35" t="s">
        <v>1155</v>
      </c>
      <c r="F46" s="35" t="s">
        <v>1178</v>
      </c>
      <c r="G46" s="35" t="s">
        <v>2504</v>
      </c>
      <c r="H46" s="35" t="s">
        <v>4166</v>
      </c>
      <c r="I46" s="35" t="s">
        <v>4127</v>
      </c>
      <c r="J46" s="139">
        <v>29104391</v>
      </c>
      <c r="K46" s="35" t="s">
        <v>2438</v>
      </c>
      <c r="L46" s="35">
        <v>3447000</v>
      </c>
      <c r="M46" s="35" t="s">
        <v>3735</v>
      </c>
      <c r="N46" s="35" t="s">
        <v>4181</v>
      </c>
      <c r="O46" s="35">
        <v>3428</v>
      </c>
      <c r="P46" s="140">
        <v>43073</v>
      </c>
      <c r="Q46" s="140">
        <v>46724</v>
      </c>
      <c r="R46" s="62" t="s">
        <v>2440</v>
      </c>
      <c r="S46" s="35" t="s">
        <v>2442</v>
      </c>
      <c r="T46" s="35" t="s">
        <v>2443</v>
      </c>
      <c r="U46" s="35" t="s">
        <v>3074</v>
      </c>
      <c r="V46" s="35" t="s">
        <v>1954</v>
      </c>
      <c r="W46" s="35">
        <v>2567</v>
      </c>
      <c r="X46" s="143">
        <v>101072.13</v>
      </c>
      <c r="Y46" s="143">
        <v>97817.68</v>
      </c>
      <c r="Z46" s="69" t="s">
        <v>3744</v>
      </c>
      <c r="AA46" s="67">
        <v>43524</v>
      </c>
      <c r="AB46" s="147">
        <v>0.4618055555555556</v>
      </c>
      <c r="AC46" s="69"/>
      <c r="AD46" s="93"/>
      <c r="AE46" s="93"/>
      <c r="AF46" s="93"/>
      <c r="AG46" s="93"/>
      <c r="AH46" s="93"/>
      <c r="AI46" s="93"/>
      <c r="AJ46" s="93"/>
      <c r="AK46" s="93"/>
      <c r="AL46" s="93"/>
      <c r="AM46" s="117">
        <f t="shared" si="0"/>
        <v>0</v>
      </c>
      <c r="AN46" s="118">
        <f t="shared" si="1"/>
        <v>0</v>
      </c>
      <c r="AO46" s="82" t="s">
        <v>2455</v>
      </c>
    </row>
    <row r="47" spans="1:41" ht="34.5" customHeight="1">
      <c r="A47" s="35">
        <v>41</v>
      </c>
      <c r="B47" s="35" t="s">
        <v>590</v>
      </c>
      <c r="C47" s="35" t="s">
        <v>2</v>
      </c>
      <c r="D47" s="35">
        <v>2</v>
      </c>
      <c r="E47" s="35" t="s">
        <v>1156</v>
      </c>
      <c r="F47" s="35" t="s">
        <v>1178</v>
      </c>
      <c r="G47" s="35" t="s">
        <v>2504</v>
      </c>
      <c r="H47" s="35" t="s">
        <v>4166</v>
      </c>
      <c r="I47" s="35" t="s">
        <v>4127</v>
      </c>
      <c r="J47" s="139">
        <v>29104391</v>
      </c>
      <c r="K47" s="35" t="s">
        <v>2438</v>
      </c>
      <c r="L47" s="35">
        <v>3447000</v>
      </c>
      <c r="M47" s="35" t="s">
        <v>3735</v>
      </c>
      <c r="N47" s="35" t="s">
        <v>4181</v>
      </c>
      <c r="O47" s="35">
        <v>3428</v>
      </c>
      <c r="P47" s="140">
        <v>43073</v>
      </c>
      <c r="Q47" s="140">
        <v>46724</v>
      </c>
      <c r="R47" s="62" t="s">
        <v>2440</v>
      </c>
      <c r="S47" s="35" t="s">
        <v>2441</v>
      </c>
      <c r="T47" s="35" t="s">
        <v>2443</v>
      </c>
      <c r="U47" s="35" t="s">
        <v>3075</v>
      </c>
      <c r="V47" s="35" t="s">
        <v>1955</v>
      </c>
      <c r="W47" s="35">
        <v>2567</v>
      </c>
      <c r="X47" s="143">
        <v>101081.35</v>
      </c>
      <c r="Y47" s="143">
        <v>97806.89</v>
      </c>
      <c r="Z47" s="69" t="s">
        <v>3744</v>
      </c>
      <c r="AA47" s="67">
        <v>43525</v>
      </c>
      <c r="AB47" s="147">
        <v>0.40972222222222227</v>
      </c>
      <c r="AC47" s="69"/>
      <c r="AD47" s="93"/>
      <c r="AE47" s="93"/>
      <c r="AF47" s="93"/>
      <c r="AG47" s="93"/>
      <c r="AH47" s="93"/>
      <c r="AI47" s="93"/>
      <c r="AJ47" s="93"/>
      <c r="AK47" s="93"/>
      <c r="AL47" s="93"/>
      <c r="AM47" s="117">
        <f t="shared" si="0"/>
        <v>0</v>
      </c>
      <c r="AN47" s="118">
        <f t="shared" si="1"/>
        <v>0</v>
      </c>
      <c r="AO47" s="82" t="s">
        <v>2455</v>
      </c>
    </row>
    <row r="48" spans="1:41" ht="38.25" customHeight="1">
      <c r="A48" s="35">
        <v>42</v>
      </c>
      <c r="B48" s="35" t="s">
        <v>590</v>
      </c>
      <c r="C48" s="35" t="s">
        <v>2</v>
      </c>
      <c r="D48" s="35">
        <v>2</v>
      </c>
      <c r="E48" s="35" t="s">
        <v>1157</v>
      </c>
      <c r="F48" s="35" t="s">
        <v>1179</v>
      </c>
      <c r="G48" s="35" t="s">
        <v>2489</v>
      </c>
      <c r="H48" s="35" t="s">
        <v>4166</v>
      </c>
      <c r="I48" s="35" t="s">
        <v>4127</v>
      </c>
      <c r="J48" s="139">
        <v>29104391</v>
      </c>
      <c r="K48" s="35" t="s">
        <v>2438</v>
      </c>
      <c r="L48" s="35">
        <v>3447000</v>
      </c>
      <c r="M48" s="35" t="s">
        <v>3735</v>
      </c>
      <c r="N48" s="35" t="s">
        <v>4181</v>
      </c>
      <c r="O48" s="35">
        <v>3428</v>
      </c>
      <c r="P48" s="140">
        <v>43073</v>
      </c>
      <c r="Q48" s="140">
        <v>46724</v>
      </c>
      <c r="R48" s="62" t="s">
        <v>2440</v>
      </c>
      <c r="S48" s="35" t="s">
        <v>2441</v>
      </c>
      <c r="T48" s="35" t="s">
        <v>2443</v>
      </c>
      <c r="U48" s="35" t="s">
        <v>3076</v>
      </c>
      <c r="V48" s="35" t="s">
        <v>1956</v>
      </c>
      <c r="W48" s="35">
        <v>2569</v>
      </c>
      <c r="X48" s="143">
        <v>101388.61</v>
      </c>
      <c r="Y48" s="143">
        <v>97413.1</v>
      </c>
      <c r="Z48" s="69" t="s">
        <v>3744</v>
      </c>
      <c r="AA48" s="67">
        <v>43524</v>
      </c>
      <c r="AB48" s="147">
        <v>0.4604166666666667</v>
      </c>
      <c r="AC48" s="69"/>
      <c r="AD48" s="93"/>
      <c r="AE48" s="93"/>
      <c r="AF48" s="93"/>
      <c r="AG48" s="93"/>
      <c r="AH48" s="93"/>
      <c r="AI48" s="93"/>
      <c r="AJ48" s="93"/>
      <c r="AK48" s="93"/>
      <c r="AL48" s="93"/>
      <c r="AM48" s="117">
        <f t="shared" si="0"/>
        <v>0</v>
      </c>
      <c r="AN48" s="118">
        <f t="shared" si="1"/>
        <v>0</v>
      </c>
      <c r="AO48" s="82" t="s">
        <v>2455</v>
      </c>
    </row>
    <row r="49" spans="1:41" ht="12.75" customHeight="1">
      <c r="A49" s="35">
        <v>43</v>
      </c>
      <c r="B49" s="35" t="s">
        <v>590</v>
      </c>
      <c r="C49" s="35" t="s">
        <v>2</v>
      </c>
      <c r="D49" s="35">
        <v>2</v>
      </c>
      <c r="E49" s="35" t="s">
        <v>1158</v>
      </c>
      <c r="F49" s="142" t="s">
        <v>1180</v>
      </c>
      <c r="G49" s="35" t="s">
        <v>2489</v>
      </c>
      <c r="H49" s="35" t="s">
        <v>4166</v>
      </c>
      <c r="I49" s="35" t="s">
        <v>4127</v>
      </c>
      <c r="J49" s="139">
        <v>29104391</v>
      </c>
      <c r="K49" s="35" t="s">
        <v>2438</v>
      </c>
      <c r="L49" s="35">
        <v>3447000</v>
      </c>
      <c r="M49" s="35" t="s">
        <v>3735</v>
      </c>
      <c r="N49" s="35" t="s">
        <v>4181</v>
      </c>
      <c r="O49" s="35">
        <v>3428</v>
      </c>
      <c r="P49" s="140">
        <v>43073</v>
      </c>
      <c r="Q49" s="140">
        <v>46724</v>
      </c>
      <c r="R49" s="62" t="s">
        <v>2440</v>
      </c>
      <c r="S49" s="35" t="s">
        <v>2442</v>
      </c>
      <c r="T49" s="35" t="s">
        <v>2443</v>
      </c>
      <c r="U49" s="138" t="s">
        <v>3077</v>
      </c>
      <c r="V49" s="138" t="s">
        <v>1957</v>
      </c>
      <c r="W49" s="138">
        <v>2563</v>
      </c>
      <c r="X49" s="143">
        <v>101656.25</v>
      </c>
      <c r="Y49" s="143">
        <v>97146.67</v>
      </c>
      <c r="Z49" s="69" t="s">
        <v>3741</v>
      </c>
      <c r="AA49" s="176"/>
      <c r="AB49" s="176"/>
      <c r="AC49" s="176"/>
      <c r="AD49" s="176"/>
      <c r="AE49" s="176"/>
      <c r="AF49" s="176"/>
      <c r="AG49" s="95"/>
      <c r="AH49" s="95"/>
      <c r="AI49" s="69"/>
      <c r="AJ49" s="35"/>
      <c r="AK49" s="69"/>
      <c r="AL49" s="69"/>
      <c r="AM49" s="145">
        <f t="shared" si="0"/>
        <v>0</v>
      </c>
      <c r="AN49" s="146">
        <f t="shared" si="1"/>
        <v>0</v>
      </c>
      <c r="AO49" s="82" t="s">
        <v>2413</v>
      </c>
    </row>
    <row r="50" spans="1:41" ht="42" customHeight="1">
      <c r="A50" s="35">
        <v>44</v>
      </c>
      <c r="B50" s="35" t="s">
        <v>590</v>
      </c>
      <c r="C50" s="35" t="s">
        <v>2</v>
      </c>
      <c r="D50" s="35">
        <v>2</v>
      </c>
      <c r="E50" s="35" t="s">
        <v>1159</v>
      </c>
      <c r="F50" s="35" t="s">
        <v>1180</v>
      </c>
      <c r="G50" s="35" t="s">
        <v>2489</v>
      </c>
      <c r="H50" s="35" t="s">
        <v>4166</v>
      </c>
      <c r="I50" s="35" t="s">
        <v>4127</v>
      </c>
      <c r="J50" s="139">
        <v>29104391</v>
      </c>
      <c r="K50" s="35" t="s">
        <v>2438</v>
      </c>
      <c r="L50" s="35">
        <v>3447000</v>
      </c>
      <c r="M50" s="35" t="s">
        <v>3735</v>
      </c>
      <c r="N50" s="35" t="s">
        <v>4181</v>
      </c>
      <c r="O50" s="35">
        <v>3428</v>
      </c>
      <c r="P50" s="140">
        <v>43073</v>
      </c>
      <c r="Q50" s="140">
        <v>46724</v>
      </c>
      <c r="R50" s="62" t="s">
        <v>2440</v>
      </c>
      <c r="S50" s="35" t="s">
        <v>2441</v>
      </c>
      <c r="T50" s="35" t="s">
        <v>2443</v>
      </c>
      <c r="U50" s="35" t="s">
        <v>3078</v>
      </c>
      <c r="V50" s="35" t="s">
        <v>1958</v>
      </c>
      <c r="W50" s="138">
        <v>2563</v>
      </c>
      <c r="X50" s="143">
        <v>101660.86</v>
      </c>
      <c r="Y50" s="143">
        <v>97156.85</v>
      </c>
      <c r="Z50" s="69" t="s">
        <v>3744</v>
      </c>
      <c r="AA50" s="67">
        <v>43524</v>
      </c>
      <c r="AB50" s="147">
        <v>0.47222222222222227</v>
      </c>
      <c r="AC50" s="69"/>
      <c r="AD50" s="93"/>
      <c r="AE50" s="93"/>
      <c r="AF50" s="93"/>
      <c r="AG50" s="93"/>
      <c r="AH50" s="93"/>
      <c r="AI50" s="93"/>
      <c r="AJ50" s="93"/>
      <c r="AK50" s="93"/>
      <c r="AL50" s="93"/>
      <c r="AM50" s="117">
        <f t="shared" si="0"/>
        <v>0</v>
      </c>
      <c r="AN50" s="118">
        <f t="shared" si="1"/>
        <v>0</v>
      </c>
      <c r="AO50" s="82" t="s">
        <v>2455</v>
      </c>
    </row>
    <row r="51" spans="1:41" ht="12.75" customHeight="1">
      <c r="A51" s="35">
        <v>45</v>
      </c>
      <c r="B51" s="35" t="s">
        <v>590</v>
      </c>
      <c r="C51" s="35" t="s">
        <v>2</v>
      </c>
      <c r="D51" s="35">
        <v>2</v>
      </c>
      <c r="E51" s="35" t="s">
        <v>1160</v>
      </c>
      <c r="F51" s="142" t="s">
        <v>1181</v>
      </c>
      <c r="G51" s="35" t="s">
        <v>2489</v>
      </c>
      <c r="H51" s="35" t="s">
        <v>4166</v>
      </c>
      <c r="I51" s="35" t="s">
        <v>4127</v>
      </c>
      <c r="J51" s="139">
        <v>29104391</v>
      </c>
      <c r="K51" s="35" t="s">
        <v>2438</v>
      </c>
      <c r="L51" s="35">
        <v>3447000</v>
      </c>
      <c r="M51" s="35" t="s">
        <v>3735</v>
      </c>
      <c r="N51" s="35" t="s">
        <v>4181</v>
      </c>
      <c r="O51" s="35">
        <v>3428</v>
      </c>
      <c r="P51" s="140">
        <v>43073</v>
      </c>
      <c r="Q51" s="140">
        <v>46724</v>
      </c>
      <c r="R51" s="62" t="s">
        <v>2440</v>
      </c>
      <c r="S51" s="35" t="s">
        <v>2442</v>
      </c>
      <c r="T51" s="35" t="s">
        <v>2443</v>
      </c>
      <c r="U51" s="138" t="s">
        <v>3079</v>
      </c>
      <c r="V51" s="138" t="s">
        <v>1959</v>
      </c>
      <c r="W51" s="138">
        <v>2561</v>
      </c>
      <c r="X51" s="143">
        <v>101797.89</v>
      </c>
      <c r="Y51" s="143">
        <v>96705.42</v>
      </c>
      <c r="Z51" s="69" t="s">
        <v>3741</v>
      </c>
      <c r="AA51" s="176"/>
      <c r="AB51" s="176"/>
      <c r="AC51" s="176"/>
      <c r="AD51" s="176"/>
      <c r="AE51" s="176"/>
      <c r="AF51" s="176"/>
      <c r="AG51" s="95"/>
      <c r="AH51" s="95"/>
      <c r="AI51" s="69"/>
      <c r="AJ51" s="35"/>
      <c r="AK51" s="69"/>
      <c r="AL51" s="69"/>
      <c r="AM51" s="145">
        <f t="shared" si="0"/>
        <v>0</v>
      </c>
      <c r="AN51" s="146">
        <f t="shared" si="1"/>
        <v>0</v>
      </c>
      <c r="AO51" s="82" t="s">
        <v>2413</v>
      </c>
    </row>
    <row r="52" spans="1:41" ht="12.75" customHeight="1">
      <c r="A52" s="35">
        <v>46</v>
      </c>
      <c r="B52" s="35" t="s">
        <v>590</v>
      </c>
      <c r="C52" s="35" t="s">
        <v>2</v>
      </c>
      <c r="D52" s="35">
        <v>2</v>
      </c>
      <c r="E52" s="35" t="s">
        <v>1161</v>
      </c>
      <c r="F52" s="142" t="s">
        <v>1182</v>
      </c>
      <c r="G52" s="35" t="s">
        <v>2489</v>
      </c>
      <c r="H52" s="35" t="s">
        <v>4166</v>
      </c>
      <c r="I52" s="35" t="s">
        <v>4127</v>
      </c>
      <c r="J52" s="139">
        <v>29104391</v>
      </c>
      <c r="K52" s="35" t="s">
        <v>2438</v>
      </c>
      <c r="L52" s="35">
        <v>3447000</v>
      </c>
      <c r="M52" s="35" t="s">
        <v>3735</v>
      </c>
      <c r="N52" s="35" t="s">
        <v>4181</v>
      </c>
      <c r="O52" s="35">
        <v>3428</v>
      </c>
      <c r="P52" s="140">
        <v>43073</v>
      </c>
      <c r="Q52" s="140">
        <v>46724</v>
      </c>
      <c r="R52" s="62" t="s">
        <v>2440</v>
      </c>
      <c r="S52" s="35" t="s">
        <v>2441</v>
      </c>
      <c r="T52" s="35" t="s">
        <v>2443</v>
      </c>
      <c r="U52" s="138" t="s">
        <v>3080</v>
      </c>
      <c r="V52" s="138" t="s">
        <v>1960</v>
      </c>
      <c r="W52" s="138">
        <v>2561</v>
      </c>
      <c r="X52" s="143">
        <v>101780.98</v>
      </c>
      <c r="Y52" s="143">
        <v>96599.35</v>
      </c>
      <c r="Z52" s="69" t="s">
        <v>3741</v>
      </c>
      <c r="AA52" s="176"/>
      <c r="AB52" s="176"/>
      <c r="AC52" s="176"/>
      <c r="AD52" s="176"/>
      <c r="AE52" s="176"/>
      <c r="AF52" s="176"/>
      <c r="AG52" s="95"/>
      <c r="AH52" s="95"/>
      <c r="AI52" s="69"/>
      <c r="AJ52" s="35"/>
      <c r="AK52" s="69"/>
      <c r="AL52" s="69"/>
      <c r="AM52" s="145">
        <f t="shared" si="0"/>
        <v>0</v>
      </c>
      <c r="AN52" s="146">
        <f t="shared" si="1"/>
        <v>0</v>
      </c>
      <c r="AO52" s="82" t="s">
        <v>2413</v>
      </c>
    </row>
    <row r="53" spans="1:41" ht="12.75" customHeight="1">
      <c r="A53" s="35">
        <v>47</v>
      </c>
      <c r="B53" s="35" t="s">
        <v>590</v>
      </c>
      <c r="C53" s="35" t="s">
        <v>2</v>
      </c>
      <c r="D53" s="35">
        <v>2</v>
      </c>
      <c r="E53" s="35" t="s">
        <v>1162</v>
      </c>
      <c r="F53" s="142" t="s">
        <v>1183</v>
      </c>
      <c r="G53" s="35" t="s">
        <v>2489</v>
      </c>
      <c r="H53" s="35" t="s">
        <v>4166</v>
      </c>
      <c r="I53" s="35" t="s">
        <v>4127</v>
      </c>
      <c r="J53" s="139">
        <v>29104391</v>
      </c>
      <c r="K53" s="35" t="s">
        <v>2438</v>
      </c>
      <c r="L53" s="35">
        <v>3447000</v>
      </c>
      <c r="M53" s="35" t="s">
        <v>3735</v>
      </c>
      <c r="N53" s="35" t="s">
        <v>4181</v>
      </c>
      <c r="O53" s="35">
        <v>3428</v>
      </c>
      <c r="P53" s="140">
        <v>43073</v>
      </c>
      <c r="Q53" s="140">
        <v>46724</v>
      </c>
      <c r="R53" s="62" t="s">
        <v>2440</v>
      </c>
      <c r="S53" s="35" t="s">
        <v>2442</v>
      </c>
      <c r="T53" s="35" t="s">
        <v>2443</v>
      </c>
      <c r="U53" s="138" t="s">
        <v>3081</v>
      </c>
      <c r="V53" s="138" t="s">
        <v>1961</v>
      </c>
      <c r="W53" s="138">
        <v>2563</v>
      </c>
      <c r="X53" s="143">
        <v>101741.95</v>
      </c>
      <c r="Y53" s="143">
        <v>96439.31</v>
      </c>
      <c r="Z53" s="69" t="s">
        <v>3741</v>
      </c>
      <c r="AA53" s="176"/>
      <c r="AB53" s="176"/>
      <c r="AC53" s="176"/>
      <c r="AD53" s="176"/>
      <c r="AE53" s="176"/>
      <c r="AF53" s="176"/>
      <c r="AG53" s="95"/>
      <c r="AH53" s="95"/>
      <c r="AI53" s="69"/>
      <c r="AJ53" s="35"/>
      <c r="AK53" s="69"/>
      <c r="AL53" s="69"/>
      <c r="AM53" s="145">
        <f t="shared" si="0"/>
        <v>0</v>
      </c>
      <c r="AN53" s="146">
        <f t="shared" si="1"/>
        <v>0</v>
      </c>
      <c r="AO53" s="82" t="s">
        <v>2413</v>
      </c>
    </row>
    <row r="54" spans="1:41" ht="12.75" customHeight="1">
      <c r="A54" s="35">
        <v>48</v>
      </c>
      <c r="B54" s="35" t="s">
        <v>590</v>
      </c>
      <c r="C54" s="35" t="s">
        <v>2</v>
      </c>
      <c r="D54" s="35">
        <v>2</v>
      </c>
      <c r="E54" s="35" t="s">
        <v>1163</v>
      </c>
      <c r="F54" s="142" t="s">
        <v>1183</v>
      </c>
      <c r="G54" s="35" t="s">
        <v>2489</v>
      </c>
      <c r="H54" s="35" t="s">
        <v>4166</v>
      </c>
      <c r="I54" s="35" t="s">
        <v>4127</v>
      </c>
      <c r="J54" s="139">
        <v>29104391</v>
      </c>
      <c r="K54" s="35" t="s">
        <v>2438</v>
      </c>
      <c r="L54" s="35">
        <v>3447000</v>
      </c>
      <c r="M54" s="35" t="s">
        <v>3735</v>
      </c>
      <c r="N54" s="35" t="s">
        <v>4181</v>
      </c>
      <c r="O54" s="35">
        <v>3428</v>
      </c>
      <c r="P54" s="140">
        <v>43073</v>
      </c>
      <c r="Q54" s="140">
        <v>46724</v>
      </c>
      <c r="R54" s="62" t="s">
        <v>2440</v>
      </c>
      <c r="S54" s="35" t="s">
        <v>2441</v>
      </c>
      <c r="T54" s="35" t="s">
        <v>2443</v>
      </c>
      <c r="U54" s="138" t="s">
        <v>3082</v>
      </c>
      <c r="V54" s="138" t="s">
        <v>1962</v>
      </c>
      <c r="W54" s="138">
        <v>2562</v>
      </c>
      <c r="X54" s="143">
        <v>101754.54</v>
      </c>
      <c r="Y54" s="143">
        <v>96411.25</v>
      </c>
      <c r="Z54" s="69" t="s">
        <v>3741</v>
      </c>
      <c r="AA54" s="176"/>
      <c r="AB54" s="176"/>
      <c r="AC54" s="176"/>
      <c r="AD54" s="176"/>
      <c r="AE54" s="176"/>
      <c r="AF54" s="176"/>
      <c r="AG54" s="95"/>
      <c r="AH54" s="95"/>
      <c r="AI54" s="69"/>
      <c r="AJ54" s="35"/>
      <c r="AK54" s="69"/>
      <c r="AL54" s="69"/>
      <c r="AM54" s="145">
        <f t="shared" si="0"/>
        <v>0</v>
      </c>
      <c r="AN54" s="146">
        <f t="shared" si="1"/>
        <v>0</v>
      </c>
      <c r="AO54" s="82" t="s">
        <v>2413</v>
      </c>
    </row>
    <row r="55" spans="1:41" ht="12.75" customHeight="1">
      <c r="A55" s="35">
        <v>49</v>
      </c>
      <c r="B55" s="35" t="s">
        <v>590</v>
      </c>
      <c r="C55" s="35" t="s">
        <v>2</v>
      </c>
      <c r="D55" s="35">
        <v>2</v>
      </c>
      <c r="E55" s="35" t="s">
        <v>1164</v>
      </c>
      <c r="F55" s="142" t="s">
        <v>1184</v>
      </c>
      <c r="G55" s="35" t="s">
        <v>2489</v>
      </c>
      <c r="H55" s="35" t="s">
        <v>4166</v>
      </c>
      <c r="I55" s="35" t="s">
        <v>4127</v>
      </c>
      <c r="J55" s="139">
        <v>29104391</v>
      </c>
      <c r="K55" s="35" t="s">
        <v>2438</v>
      </c>
      <c r="L55" s="35">
        <v>3447000</v>
      </c>
      <c r="M55" s="35" t="s">
        <v>3735</v>
      </c>
      <c r="N55" s="35" t="s">
        <v>4181</v>
      </c>
      <c r="O55" s="35">
        <v>3428</v>
      </c>
      <c r="P55" s="140">
        <v>43073</v>
      </c>
      <c r="Q55" s="140">
        <v>46724</v>
      </c>
      <c r="R55" s="62" t="s">
        <v>2440</v>
      </c>
      <c r="S55" s="35" t="s">
        <v>2442</v>
      </c>
      <c r="T55" s="35" t="s">
        <v>2443</v>
      </c>
      <c r="U55" s="138" t="s">
        <v>3083</v>
      </c>
      <c r="V55" s="138" t="s">
        <v>1963</v>
      </c>
      <c r="W55" s="138">
        <v>2561</v>
      </c>
      <c r="X55" s="143">
        <v>101759.15</v>
      </c>
      <c r="Y55" s="143">
        <v>96319.37</v>
      </c>
      <c r="Z55" s="69" t="s">
        <v>3741</v>
      </c>
      <c r="AA55" s="176"/>
      <c r="AB55" s="176"/>
      <c r="AC55" s="176"/>
      <c r="AD55" s="176"/>
      <c r="AE55" s="176"/>
      <c r="AF55" s="176"/>
      <c r="AG55" s="95"/>
      <c r="AH55" s="95"/>
      <c r="AI55" s="69"/>
      <c r="AJ55" s="35"/>
      <c r="AK55" s="69"/>
      <c r="AL55" s="69"/>
      <c r="AM55" s="145">
        <f t="shared" si="0"/>
        <v>0</v>
      </c>
      <c r="AN55" s="146">
        <f t="shared" si="1"/>
        <v>0</v>
      </c>
      <c r="AO55" s="82" t="s">
        <v>2413</v>
      </c>
    </row>
    <row r="56" spans="1:41" ht="12.75" customHeight="1">
      <c r="A56" s="35">
        <v>50</v>
      </c>
      <c r="B56" s="35" t="s">
        <v>590</v>
      </c>
      <c r="C56" s="35" t="s">
        <v>2</v>
      </c>
      <c r="D56" s="35">
        <v>2</v>
      </c>
      <c r="E56" s="35" t="s">
        <v>1165</v>
      </c>
      <c r="F56" s="142" t="s">
        <v>1185</v>
      </c>
      <c r="G56" s="35" t="s">
        <v>2489</v>
      </c>
      <c r="H56" s="35" t="s">
        <v>4166</v>
      </c>
      <c r="I56" s="35" t="s">
        <v>4127</v>
      </c>
      <c r="J56" s="139">
        <v>29104391</v>
      </c>
      <c r="K56" s="35" t="s">
        <v>2438</v>
      </c>
      <c r="L56" s="35">
        <v>3447000</v>
      </c>
      <c r="M56" s="35" t="s">
        <v>3735</v>
      </c>
      <c r="N56" s="35" t="s">
        <v>4181</v>
      </c>
      <c r="O56" s="35">
        <v>3428</v>
      </c>
      <c r="P56" s="140">
        <v>43073</v>
      </c>
      <c r="Q56" s="140">
        <v>46724</v>
      </c>
      <c r="R56" s="62" t="s">
        <v>2440</v>
      </c>
      <c r="S56" s="35" t="s">
        <v>2442</v>
      </c>
      <c r="T56" s="35" t="s">
        <v>2443</v>
      </c>
      <c r="U56" s="138" t="s">
        <v>3084</v>
      </c>
      <c r="V56" s="138" t="s">
        <v>1964</v>
      </c>
      <c r="W56" s="138">
        <v>2562</v>
      </c>
      <c r="X56" s="143">
        <v>101882.98</v>
      </c>
      <c r="Y56" s="143">
        <v>96120.47</v>
      </c>
      <c r="Z56" s="69" t="s">
        <v>3741</v>
      </c>
      <c r="AA56" s="176"/>
      <c r="AB56" s="176"/>
      <c r="AC56" s="176"/>
      <c r="AD56" s="176"/>
      <c r="AE56" s="176"/>
      <c r="AF56" s="176"/>
      <c r="AG56" s="95"/>
      <c r="AH56" s="95"/>
      <c r="AI56" s="69"/>
      <c r="AJ56" s="35"/>
      <c r="AK56" s="69"/>
      <c r="AL56" s="69"/>
      <c r="AM56" s="145">
        <f t="shared" si="0"/>
        <v>0</v>
      </c>
      <c r="AN56" s="146">
        <f t="shared" si="1"/>
        <v>0</v>
      </c>
      <c r="AO56" s="82" t="s">
        <v>2413</v>
      </c>
    </row>
    <row r="57" spans="1:41" ht="12.75" customHeight="1">
      <c r="A57" s="35">
        <v>51</v>
      </c>
      <c r="B57" s="35" t="s">
        <v>590</v>
      </c>
      <c r="C57" s="35" t="s">
        <v>2</v>
      </c>
      <c r="D57" s="35">
        <v>2</v>
      </c>
      <c r="E57" s="35" t="s">
        <v>1166</v>
      </c>
      <c r="F57" s="142" t="s">
        <v>1186</v>
      </c>
      <c r="G57" s="35" t="s">
        <v>2489</v>
      </c>
      <c r="H57" s="35" t="s">
        <v>4166</v>
      </c>
      <c r="I57" s="35" t="s">
        <v>4127</v>
      </c>
      <c r="J57" s="139">
        <v>29104391</v>
      </c>
      <c r="K57" s="35" t="s">
        <v>2438</v>
      </c>
      <c r="L57" s="35">
        <v>3447000</v>
      </c>
      <c r="M57" s="35" t="s">
        <v>3735</v>
      </c>
      <c r="N57" s="35" t="s">
        <v>4181</v>
      </c>
      <c r="O57" s="35">
        <v>3428</v>
      </c>
      <c r="P57" s="140">
        <v>43073</v>
      </c>
      <c r="Q57" s="140">
        <v>46724</v>
      </c>
      <c r="R57" s="62" t="s">
        <v>2440</v>
      </c>
      <c r="S57" s="35" t="s">
        <v>2441</v>
      </c>
      <c r="T57" s="35" t="s">
        <v>2443</v>
      </c>
      <c r="U57" s="138" t="s">
        <v>3085</v>
      </c>
      <c r="V57" s="138" t="s">
        <v>1965</v>
      </c>
      <c r="W57" s="138">
        <v>2562</v>
      </c>
      <c r="X57" s="143">
        <v>101923.54</v>
      </c>
      <c r="Y57" s="143">
        <v>96076.38</v>
      </c>
      <c r="Z57" s="69" t="s">
        <v>3741</v>
      </c>
      <c r="AA57" s="176"/>
      <c r="AB57" s="176"/>
      <c r="AC57" s="176"/>
      <c r="AD57" s="176"/>
      <c r="AE57" s="176"/>
      <c r="AF57" s="176"/>
      <c r="AG57" s="95"/>
      <c r="AH57" s="95"/>
      <c r="AI57" s="69"/>
      <c r="AJ57" s="35"/>
      <c r="AK57" s="69"/>
      <c r="AL57" s="69"/>
      <c r="AM57" s="145">
        <f t="shared" si="0"/>
        <v>0</v>
      </c>
      <c r="AN57" s="146">
        <f t="shared" si="1"/>
        <v>0</v>
      </c>
      <c r="AO57" s="82" t="s">
        <v>2413</v>
      </c>
    </row>
    <row r="58" spans="1:41" ht="49.5" customHeight="1">
      <c r="A58" s="35">
        <v>52</v>
      </c>
      <c r="B58" s="35" t="s">
        <v>590</v>
      </c>
      <c r="C58" s="35" t="s">
        <v>2</v>
      </c>
      <c r="D58" s="35">
        <v>2</v>
      </c>
      <c r="E58" s="35" t="s">
        <v>1167</v>
      </c>
      <c r="F58" s="142" t="s">
        <v>1187</v>
      </c>
      <c r="G58" s="35" t="s">
        <v>2489</v>
      </c>
      <c r="H58" s="35" t="s">
        <v>4166</v>
      </c>
      <c r="I58" s="35" t="s">
        <v>4127</v>
      </c>
      <c r="J58" s="139">
        <v>29104391</v>
      </c>
      <c r="K58" s="35" t="s">
        <v>2438</v>
      </c>
      <c r="L58" s="35">
        <v>3447000</v>
      </c>
      <c r="M58" s="35" t="s">
        <v>3735</v>
      </c>
      <c r="N58" s="35" t="s">
        <v>4181</v>
      </c>
      <c r="O58" s="35">
        <v>3428</v>
      </c>
      <c r="P58" s="140">
        <v>43073</v>
      </c>
      <c r="Q58" s="140">
        <v>46724</v>
      </c>
      <c r="R58" s="62" t="s">
        <v>2440</v>
      </c>
      <c r="S58" s="35" t="s">
        <v>2441</v>
      </c>
      <c r="T58" s="35" t="s">
        <v>2443</v>
      </c>
      <c r="U58" s="138" t="s">
        <v>3086</v>
      </c>
      <c r="V58" s="138" t="s">
        <v>1966</v>
      </c>
      <c r="W58" s="138">
        <v>2561</v>
      </c>
      <c r="X58" s="143">
        <v>102282.13</v>
      </c>
      <c r="Y58" s="143">
        <v>95669.34</v>
      </c>
      <c r="Z58" s="69" t="s">
        <v>4080</v>
      </c>
      <c r="AA58" s="104">
        <v>43662</v>
      </c>
      <c r="AB58" s="69" t="s">
        <v>2526</v>
      </c>
      <c r="AC58" s="69">
        <v>102</v>
      </c>
      <c r="AD58" s="69">
        <v>204</v>
      </c>
      <c r="AE58" s="95">
        <v>13.43</v>
      </c>
      <c r="AF58" s="69">
        <v>24</v>
      </c>
      <c r="AG58" s="95">
        <f>AE58*AC58*AF58*0.0036</f>
        <v>118.355904</v>
      </c>
      <c r="AH58" s="95">
        <f>AE58*AD58*AF58*0.0036</f>
        <v>236.711808</v>
      </c>
      <c r="AI58" s="69">
        <v>30</v>
      </c>
      <c r="AJ58" s="35">
        <v>12</v>
      </c>
      <c r="AK58" s="35">
        <v>0.63</v>
      </c>
      <c r="AL58" s="35">
        <v>0.6</v>
      </c>
      <c r="AM58" s="145">
        <f t="shared" si="0"/>
        <v>26843.1190272</v>
      </c>
      <c r="AN58" s="146">
        <f t="shared" si="1"/>
        <v>51129.750528</v>
      </c>
      <c r="AO58" s="82" t="s">
        <v>2413</v>
      </c>
    </row>
    <row r="59" spans="1:41" ht="12.75" customHeight="1">
      <c r="A59" s="35">
        <v>53</v>
      </c>
      <c r="B59" s="35" t="s">
        <v>590</v>
      </c>
      <c r="C59" s="35" t="s">
        <v>2</v>
      </c>
      <c r="D59" s="35">
        <v>2</v>
      </c>
      <c r="E59" s="35" t="s">
        <v>1168</v>
      </c>
      <c r="F59" s="142" t="s">
        <v>1188</v>
      </c>
      <c r="G59" s="35" t="s">
        <v>2489</v>
      </c>
      <c r="H59" s="35" t="s">
        <v>4166</v>
      </c>
      <c r="I59" s="35" t="s">
        <v>4127</v>
      </c>
      <c r="J59" s="139">
        <v>29104391</v>
      </c>
      <c r="K59" s="35" t="s">
        <v>2438</v>
      </c>
      <c r="L59" s="35">
        <v>3447000</v>
      </c>
      <c r="M59" s="35" t="s">
        <v>3735</v>
      </c>
      <c r="N59" s="35" t="s">
        <v>4181</v>
      </c>
      <c r="O59" s="35">
        <v>3428</v>
      </c>
      <c r="P59" s="140">
        <v>43073</v>
      </c>
      <c r="Q59" s="140">
        <v>46724</v>
      </c>
      <c r="R59" s="62" t="s">
        <v>2440</v>
      </c>
      <c r="S59" s="35" t="s">
        <v>2441</v>
      </c>
      <c r="T59" s="35" t="s">
        <v>2443</v>
      </c>
      <c r="U59" s="138" t="s">
        <v>3087</v>
      </c>
      <c r="V59" s="138" t="s">
        <v>1967</v>
      </c>
      <c r="W59" s="138">
        <v>2561</v>
      </c>
      <c r="X59" s="143">
        <v>102416.11</v>
      </c>
      <c r="Y59" s="143">
        <v>95523.49</v>
      </c>
      <c r="Z59" s="69" t="s">
        <v>3741</v>
      </c>
      <c r="AA59" s="176"/>
      <c r="AB59" s="176"/>
      <c r="AC59" s="176"/>
      <c r="AD59" s="176"/>
      <c r="AE59" s="176"/>
      <c r="AF59" s="176"/>
      <c r="AG59" s="95"/>
      <c r="AH59" s="95"/>
      <c r="AI59" s="69"/>
      <c r="AJ59" s="35"/>
      <c r="AK59" s="69"/>
      <c r="AL59" s="69"/>
      <c r="AM59" s="145">
        <f t="shared" si="0"/>
        <v>0</v>
      </c>
      <c r="AN59" s="146">
        <f t="shared" si="1"/>
        <v>0</v>
      </c>
      <c r="AO59" s="82" t="s">
        <v>2413</v>
      </c>
    </row>
    <row r="60" spans="1:41" ht="12.75" customHeight="1">
      <c r="A60" s="35">
        <v>54</v>
      </c>
      <c r="B60" s="35" t="s">
        <v>590</v>
      </c>
      <c r="C60" s="35" t="s">
        <v>2</v>
      </c>
      <c r="D60" s="35">
        <v>2</v>
      </c>
      <c r="E60" s="35" t="s">
        <v>1169</v>
      </c>
      <c r="F60" s="142" t="s">
        <v>1189</v>
      </c>
      <c r="G60" s="35" t="s">
        <v>2489</v>
      </c>
      <c r="H60" s="35" t="s">
        <v>4166</v>
      </c>
      <c r="I60" s="35" t="s">
        <v>4127</v>
      </c>
      <c r="J60" s="139">
        <v>29104391</v>
      </c>
      <c r="K60" s="35" t="s">
        <v>2438</v>
      </c>
      <c r="L60" s="35">
        <v>3447000</v>
      </c>
      <c r="M60" s="35" t="s">
        <v>3735</v>
      </c>
      <c r="N60" s="35" t="s">
        <v>4181</v>
      </c>
      <c r="O60" s="35">
        <v>3428</v>
      </c>
      <c r="P60" s="140">
        <v>43073</v>
      </c>
      <c r="Q60" s="140">
        <v>46724</v>
      </c>
      <c r="R60" s="62" t="s">
        <v>2440</v>
      </c>
      <c r="S60" s="35" t="s">
        <v>2441</v>
      </c>
      <c r="T60" s="35" t="s">
        <v>2443</v>
      </c>
      <c r="U60" s="138" t="s">
        <v>3088</v>
      </c>
      <c r="V60" s="138" t="s">
        <v>1968</v>
      </c>
      <c r="W60" s="138">
        <v>2561</v>
      </c>
      <c r="X60" s="143">
        <v>102528.88</v>
      </c>
      <c r="Y60" s="143">
        <v>95398.3</v>
      </c>
      <c r="Z60" s="69" t="s">
        <v>3741</v>
      </c>
      <c r="AA60" s="176"/>
      <c r="AB60" s="176"/>
      <c r="AC60" s="176"/>
      <c r="AD60" s="176"/>
      <c r="AE60" s="176"/>
      <c r="AF60" s="176"/>
      <c r="AG60" s="95"/>
      <c r="AH60" s="95"/>
      <c r="AI60" s="69"/>
      <c r="AJ60" s="35"/>
      <c r="AK60" s="69"/>
      <c r="AL60" s="69"/>
      <c r="AM60" s="145">
        <f t="shared" si="0"/>
        <v>0</v>
      </c>
      <c r="AN60" s="146">
        <f t="shared" si="1"/>
        <v>0</v>
      </c>
      <c r="AO60" s="82" t="s">
        <v>2413</v>
      </c>
    </row>
    <row r="61" spans="1:41" ht="12.75" customHeight="1">
      <c r="A61" s="35">
        <v>55</v>
      </c>
      <c r="B61" s="35" t="s">
        <v>590</v>
      </c>
      <c r="C61" s="35" t="s">
        <v>2</v>
      </c>
      <c r="D61" s="35">
        <v>2</v>
      </c>
      <c r="E61" s="35" t="s">
        <v>1170</v>
      </c>
      <c r="F61" s="142" t="s">
        <v>1190</v>
      </c>
      <c r="G61" s="35" t="s">
        <v>2489</v>
      </c>
      <c r="H61" s="35" t="s">
        <v>4166</v>
      </c>
      <c r="I61" s="35" t="s">
        <v>4127</v>
      </c>
      <c r="J61" s="139">
        <v>29104391</v>
      </c>
      <c r="K61" s="35" t="s">
        <v>2438</v>
      </c>
      <c r="L61" s="35">
        <v>3447000</v>
      </c>
      <c r="M61" s="35" t="s">
        <v>3735</v>
      </c>
      <c r="N61" s="35" t="s">
        <v>4181</v>
      </c>
      <c r="O61" s="35">
        <v>3428</v>
      </c>
      <c r="P61" s="140">
        <v>43073</v>
      </c>
      <c r="Q61" s="140">
        <v>46724</v>
      </c>
      <c r="R61" s="62" t="s">
        <v>2440</v>
      </c>
      <c r="S61" s="35" t="s">
        <v>2441</v>
      </c>
      <c r="T61" s="35" t="s">
        <v>2443</v>
      </c>
      <c r="U61" s="138" t="s">
        <v>3089</v>
      </c>
      <c r="V61" s="138" t="s">
        <v>1969</v>
      </c>
      <c r="W61" s="138">
        <v>2562</v>
      </c>
      <c r="X61" s="143">
        <v>102561.45</v>
      </c>
      <c r="Y61" s="143">
        <v>95358.83</v>
      </c>
      <c r="Z61" s="69" t="s">
        <v>3741</v>
      </c>
      <c r="AA61" s="176"/>
      <c r="AB61" s="176"/>
      <c r="AC61" s="176"/>
      <c r="AD61" s="176"/>
      <c r="AE61" s="176"/>
      <c r="AF61" s="176"/>
      <c r="AG61" s="95"/>
      <c r="AH61" s="95"/>
      <c r="AI61" s="69"/>
      <c r="AJ61" s="35"/>
      <c r="AK61" s="69"/>
      <c r="AL61" s="69"/>
      <c r="AM61" s="145">
        <f t="shared" si="0"/>
        <v>0</v>
      </c>
      <c r="AN61" s="146">
        <f t="shared" si="1"/>
        <v>0</v>
      </c>
      <c r="AO61" s="82" t="s">
        <v>2413</v>
      </c>
    </row>
    <row r="62" spans="1:41" ht="31.5" customHeight="1">
      <c r="A62" s="35">
        <v>56</v>
      </c>
      <c r="B62" s="35" t="s">
        <v>590</v>
      </c>
      <c r="C62" s="35" t="s">
        <v>2</v>
      </c>
      <c r="D62" s="35">
        <v>2</v>
      </c>
      <c r="E62" s="35" t="s">
        <v>1171</v>
      </c>
      <c r="F62" s="35" t="s">
        <v>1191</v>
      </c>
      <c r="G62" s="35" t="s">
        <v>2489</v>
      </c>
      <c r="H62" s="35" t="s">
        <v>4166</v>
      </c>
      <c r="I62" s="35" t="s">
        <v>4127</v>
      </c>
      <c r="J62" s="139">
        <v>29104391</v>
      </c>
      <c r="K62" s="35" t="s">
        <v>2438</v>
      </c>
      <c r="L62" s="35">
        <v>3447000</v>
      </c>
      <c r="M62" s="35" t="s">
        <v>3735</v>
      </c>
      <c r="N62" s="35" t="s">
        <v>4181</v>
      </c>
      <c r="O62" s="35">
        <v>3428</v>
      </c>
      <c r="P62" s="140">
        <v>43073</v>
      </c>
      <c r="Q62" s="140">
        <v>46724</v>
      </c>
      <c r="R62" s="62" t="s">
        <v>2440</v>
      </c>
      <c r="S62" s="35" t="s">
        <v>2441</v>
      </c>
      <c r="T62" s="35" t="s">
        <v>2443</v>
      </c>
      <c r="U62" s="35" t="s">
        <v>3090</v>
      </c>
      <c r="V62" s="35" t="s">
        <v>1970</v>
      </c>
      <c r="W62" s="35">
        <v>2563</v>
      </c>
      <c r="X62" s="143">
        <v>102597.1</v>
      </c>
      <c r="Y62" s="143">
        <v>95320.59</v>
      </c>
      <c r="Z62" s="69" t="s">
        <v>3744</v>
      </c>
      <c r="AA62" s="67">
        <v>43524</v>
      </c>
      <c r="AB62" s="147">
        <v>0.4895833333333333</v>
      </c>
      <c r="AC62" s="178"/>
      <c r="AD62" s="93"/>
      <c r="AE62" s="93"/>
      <c r="AF62" s="93"/>
      <c r="AG62" s="93"/>
      <c r="AH62" s="93"/>
      <c r="AI62" s="93"/>
      <c r="AJ62" s="93"/>
      <c r="AK62" s="93"/>
      <c r="AL62" s="93"/>
      <c r="AM62" s="117">
        <f t="shared" si="0"/>
        <v>0</v>
      </c>
      <c r="AN62" s="118">
        <f t="shared" si="1"/>
        <v>0</v>
      </c>
      <c r="AO62" s="82" t="s">
        <v>2455</v>
      </c>
    </row>
    <row r="63" spans="1:41" ht="12.75">
      <c r="A63" s="35">
        <v>57</v>
      </c>
      <c r="B63" s="35" t="s">
        <v>590</v>
      </c>
      <c r="C63" s="35" t="s">
        <v>2</v>
      </c>
      <c r="D63" s="35">
        <v>2</v>
      </c>
      <c r="E63" s="35" t="s">
        <v>1172</v>
      </c>
      <c r="F63" s="142" t="s">
        <v>1191</v>
      </c>
      <c r="G63" s="35" t="s">
        <v>2489</v>
      </c>
      <c r="H63" s="35" t="s">
        <v>4166</v>
      </c>
      <c r="I63" s="35" t="s">
        <v>4127</v>
      </c>
      <c r="J63" s="139">
        <v>29104391</v>
      </c>
      <c r="K63" s="35" t="s">
        <v>2438</v>
      </c>
      <c r="L63" s="35">
        <v>3447000</v>
      </c>
      <c r="M63" s="35" t="s">
        <v>3735</v>
      </c>
      <c r="N63" s="35" t="s">
        <v>4181</v>
      </c>
      <c r="O63" s="35">
        <v>3428</v>
      </c>
      <c r="P63" s="140">
        <v>43073</v>
      </c>
      <c r="Q63" s="140">
        <v>46724</v>
      </c>
      <c r="R63" s="62" t="s">
        <v>2440</v>
      </c>
      <c r="S63" s="35" t="s">
        <v>2441</v>
      </c>
      <c r="T63" s="35" t="s">
        <v>2443</v>
      </c>
      <c r="U63" s="138" t="s">
        <v>3091</v>
      </c>
      <c r="V63" s="138" t="s">
        <v>1971</v>
      </c>
      <c r="W63" s="35">
        <v>2563</v>
      </c>
      <c r="X63" s="143">
        <v>102608.47</v>
      </c>
      <c r="Y63" s="143">
        <v>95311.34</v>
      </c>
      <c r="Z63" s="69" t="s">
        <v>3741</v>
      </c>
      <c r="AA63" s="104"/>
      <c r="AB63" s="69"/>
      <c r="AC63" s="69"/>
      <c r="AD63" s="69"/>
      <c r="AE63" s="95"/>
      <c r="AF63" s="69"/>
      <c r="AG63" s="95"/>
      <c r="AH63" s="95"/>
      <c r="AI63" s="69"/>
      <c r="AJ63" s="35"/>
      <c r="AK63" s="35"/>
      <c r="AL63" s="35"/>
      <c r="AM63" s="145">
        <f t="shared" si="0"/>
        <v>0</v>
      </c>
      <c r="AN63" s="146">
        <f t="shared" si="1"/>
        <v>0</v>
      </c>
      <c r="AO63" s="82" t="s">
        <v>2413</v>
      </c>
    </row>
    <row r="64" spans="1:41" ht="12.75" customHeight="1">
      <c r="A64" s="35">
        <v>58</v>
      </c>
      <c r="B64" s="35" t="s">
        <v>590</v>
      </c>
      <c r="C64" s="35" t="s">
        <v>2</v>
      </c>
      <c r="D64" s="35">
        <v>2</v>
      </c>
      <c r="E64" s="35" t="s">
        <v>1173</v>
      </c>
      <c r="F64" s="142" t="s">
        <v>1192</v>
      </c>
      <c r="G64" s="35" t="s">
        <v>2489</v>
      </c>
      <c r="H64" s="35" t="s">
        <v>4166</v>
      </c>
      <c r="I64" s="35" t="s">
        <v>4127</v>
      </c>
      <c r="J64" s="139">
        <v>29104391</v>
      </c>
      <c r="K64" s="35" t="s">
        <v>2438</v>
      </c>
      <c r="L64" s="35">
        <v>3447000</v>
      </c>
      <c r="M64" s="35" t="s">
        <v>3735</v>
      </c>
      <c r="N64" s="35" t="s">
        <v>4181</v>
      </c>
      <c r="O64" s="35">
        <v>3428</v>
      </c>
      <c r="P64" s="140">
        <v>43073</v>
      </c>
      <c r="Q64" s="140">
        <v>46724</v>
      </c>
      <c r="R64" s="62" t="s">
        <v>2440</v>
      </c>
      <c r="S64" s="35" t="s">
        <v>2441</v>
      </c>
      <c r="T64" s="35" t="s">
        <v>2443</v>
      </c>
      <c r="U64" s="138" t="s">
        <v>3092</v>
      </c>
      <c r="V64" s="138" t="s">
        <v>1972</v>
      </c>
      <c r="W64" s="138">
        <v>2561</v>
      </c>
      <c r="X64" s="143">
        <v>102773.17</v>
      </c>
      <c r="Y64" s="143">
        <v>95143.59</v>
      </c>
      <c r="Z64" s="69" t="s">
        <v>3741</v>
      </c>
      <c r="AA64" s="176"/>
      <c r="AB64" s="176"/>
      <c r="AC64" s="176"/>
      <c r="AD64" s="176"/>
      <c r="AE64" s="176"/>
      <c r="AF64" s="176"/>
      <c r="AG64" s="95"/>
      <c r="AH64" s="95"/>
      <c r="AI64" s="69"/>
      <c r="AJ64" s="35"/>
      <c r="AK64" s="69"/>
      <c r="AL64" s="69"/>
      <c r="AM64" s="145">
        <f t="shared" si="0"/>
        <v>0</v>
      </c>
      <c r="AN64" s="146">
        <f t="shared" si="1"/>
        <v>0</v>
      </c>
      <c r="AO64" s="82" t="s">
        <v>2413</v>
      </c>
    </row>
    <row r="65" spans="1:41" ht="12.75" customHeight="1">
      <c r="A65" s="35">
        <v>59</v>
      </c>
      <c r="B65" s="35" t="s">
        <v>590</v>
      </c>
      <c r="C65" s="35" t="s">
        <v>2</v>
      </c>
      <c r="D65" s="35">
        <v>2</v>
      </c>
      <c r="E65" s="35" t="s">
        <v>1174</v>
      </c>
      <c r="F65" s="142" t="s">
        <v>1193</v>
      </c>
      <c r="G65" s="35" t="s">
        <v>2489</v>
      </c>
      <c r="H65" s="35" t="s">
        <v>4166</v>
      </c>
      <c r="I65" s="35" t="s">
        <v>4127</v>
      </c>
      <c r="J65" s="139">
        <v>29104391</v>
      </c>
      <c r="K65" s="35" t="s">
        <v>2438</v>
      </c>
      <c r="L65" s="35">
        <v>3447000</v>
      </c>
      <c r="M65" s="35" t="s">
        <v>3735</v>
      </c>
      <c r="N65" s="35" t="s">
        <v>4181</v>
      </c>
      <c r="O65" s="35">
        <v>3428</v>
      </c>
      <c r="P65" s="140">
        <v>43073</v>
      </c>
      <c r="Q65" s="140">
        <v>46724</v>
      </c>
      <c r="R65" s="62" t="s">
        <v>2440</v>
      </c>
      <c r="S65" s="35" t="s">
        <v>2441</v>
      </c>
      <c r="T65" s="35" t="s">
        <v>2443</v>
      </c>
      <c r="U65" s="138" t="s">
        <v>3093</v>
      </c>
      <c r="V65" s="138" t="s">
        <v>1973</v>
      </c>
      <c r="W65" s="138">
        <v>2560</v>
      </c>
      <c r="X65" s="143">
        <v>102831.86</v>
      </c>
      <c r="Y65" s="143">
        <v>95088.4</v>
      </c>
      <c r="Z65" s="69" t="s">
        <v>3741</v>
      </c>
      <c r="AA65" s="176"/>
      <c r="AB65" s="176"/>
      <c r="AC65" s="176"/>
      <c r="AD65" s="176"/>
      <c r="AE65" s="176"/>
      <c r="AF65" s="176"/>
      <c r="AG65" s="95"/>
      <c r="AH65" s="95"/>
      <c r="AI65" s="69"/>
      <c r="AJ65" s="35"/>
      <c r="AK65" s="69"/>
      <c r="AL65" s="69"/>
      <c r="AM65" s="145">
        <f t="shared" si="0"/>
        <v>0</v>
      </c>
      <c r="AN65" s="146">
        <f t="shared" si="1"/>
        <v>0</v>
      </c>
      <c r="AO65" s="82" t="s">
        <v>2413</v>
      </c>
    </row>
    <row r="66" spans="1:41" ht="12.75" customHeight="1">
      <c r="A66" s="35">
        <v>60</v>
      </c>
      <c r="B66" s="35" t="s">
        <v>590</v>
      </c>
      <c r="C66" s="35" t="s">
        <v>2</v>
      </c>
      <c r="D66" s="35">
        <v>2</v>
      </c>
      <c r="E66" s="35" t="s">
        <v>1175</v>
      </c>
      <c r="F66" s="142" t="s">
        <v>1194</v>
      </c>
      <c r="G66" s="35" t="s">
        <v>2489</v>
      </c>
      <c r="H66" s="35" t="s">
        <v>4166</v>
      </c>
      <c r="I66" s="35" t="s">
        <v>4127</v>
      </c>
      <c r="J66" s="139">
        <v>29104391</v>
      </c>
      <c r="K66" s="35" t="s">
        <v>2438</v>
      </c>
      <c r="L66" s="35">
        <v>3447000</v>
      </c>
      <c r="M66" s="35" t="s">
        <v>3735</v>
      </c>
      <c r="N66" s="35" t="s">
        <v>4181</v>
      </c>
      <c r="O66" s="35">
        <v>3428</v>
      </c>
      <c r="P66" s="140">
        <v>43073</v>
      </c>
      <c r="Q66" s="140">
        <v>46724</v>
      </c>
      <c r="R66" s="62" t="s">
        <v>2440</v>
      </c>
      <c r="S66" s="35" t="s">
        <v>2441</v>
      </c>
      <c r="T66" s="35" t="s">
        <v>2443</v>
      </c>
      <c r="U66" s="138" t="s">
        <v>3094</v>
      </c>
      <c r="V66" s="138" t="s">
        <v>1974</v>
      </c>
      <c r="W66" s="138">
        <v>2557</v>
      </c>
      <c r="X66" s="143">
        <v>103110.26</v>
      </c>
      <c r="Y66" s="143">
        <v>94819.51</v>
      </c>
      <c r="Z66" s="69" t="s">
        <v>3741</v>
      </c>
      <c r="AA66" s="176"/>
      <c r="AB66" s="176"/>
      <c r="AC66" s="176"/>
      <c r="AD66" s="176"/>
      <c r="AE66" s="176"/>
      <c r="AF66" s="176"/>
      <c r="AG66" s="95"/>
      <c r="AH66" s="95"/>
      <c r="AI66" s="69"/>
      <c r="AJ66" s="35"/>
      <c r="AK66" s="69"/>
      <c r="AL66" s="69"/>
      <c r="AM66" s="145">
        <f t="shared" si="0"/>
        <v>0</v>
      </c>
      <c r="AN66" s="146">
        <f t="shared" si="1"/>
        <v>0</v>
      </c>
      <c r="AO66" s="82" t="s">
        <v>2413</v>
      </c>
    </row>
    <row r="67" spans="1:41" ht="12.75" customHeight="1">
      <c r="A67" s="35">
        <v>61</v>
      </c>
      <c r="B67" s="35" t="s">
        <v>590</v>
      </c>
      <c r="C67" s="35" t="s">
        <v>2</v>
      </c>
      <c r="D67" s="35">
        <v>2</v>
      </c>
      <c r="E67" s="35" t="s">
        <v>1176</v>
      </c>
      <c r="F67" s="142" t="s">
        <v>1194</v>
      </c>
      <c r="G67" s="142" t="s">
        <v>2490</v>
      </c>
      <c r="H67" s="35" t="s">
        <v>4166</v>
      </c>
      <c r="I67" s="35" t="s">
        <v>4127</v>
      </c>
      <c r="J67" s="139">
        <v>29104391</v>
      </c>
      <c r="K67" s="35" t="s">
        <v>2438</v>
      </c>
      <c r="L67" s="35">
        <v>3447000</v>
      </c>
      <c r="M67" s="35" t="s">
        <v>3735</v>
      </c>
      <c r="N67" s="35" t="s">
        <v>4181</v>
      </c>
      <c r="O67" s="35">
        <v>3428</v>
      </c>
      <c r="P67" s="140">
        <v>43073</v>
      </c>
      <c r="Q67" s="140">
        <v>46724</v>
      </c>
      <c r="R67" s="62" t="s">
        <v>2440</v>
      </c>
      <c r="S67" s="35" t="s">
        <v>2441</v>
      </c>
      <c r="T67" s="35" t="s">
        <v>2443</v>
      </c>
      <c r="U67" s="138" t="s">
        <v>3095</v>
      </c>
      <c r="V67" s="138" t="s">
        <v>1975</v>
      </c>
      <c r="W67" s="138">
        <v>2557</v>
      </c>
      <c r="X67" s="143">
        <v>103123.47</v>
      </c>
      <c r="Y67" s="143">
        <v>94793.3</v>
      </c>
      <c r="Z67" s="69" t="s">
        <v>3741</v>
      </c>
      <c r="AA67" s="176"/>
      <c r="AB67" s="176"/>
      <c r="AC67" s="176"/>
      <c r="AD67" s="176"/>
      <c r="AE67" s="176"/>
      <c r="AF67" s="176"/>
      <c r="AG67" s="95"/>
      <c r="AH67" s="95"/>
      <c r="AI67" s="69"/>
      <c r="AJ67" s="35"/>
      <c r="AK67" s="69"/>
      <c r="AL67" s="69"/>
      <c r="AM67" s="145">
        <f t="shared" si="0"/>
        <v>0</v>
      </c>
      <c r="AN67" s="146">
        <f t="shared" si="1"/>
        <v>0</v>
      </c>
      <c r="AO67" s="82" t="s">
        <v>2413</v>
      </c>
    </row>
    <row r="68" spans="1:41" ht="25.5">
      <c r="A68" s="35">
        <v>62</v>
      </c>
      <c r="B68" s="35" t="s">
        <v>590</v>
      </c>
      <c r="C68" s="35" t="s">
        <v>2</v>
      </c>
      <c r="D68" s="35">
        <v>2</v>
      </c>
      <c r="E68" s="35" t="s">
        <v>2506</v>
      </c>
      <c r="F68" s="142" t="s">
        <v>589</v>
      </c>
      <c r="G68" s="142" t="s">
        <v>2490</v>
      </c>
      <c r="H68" s="35" t="s">
        <v>4166</v>
      </c>
      <c r="I68" s="35" t="s">
        <v>4127</v>
      </c>
      <c r="J68" s="139">
        <v>29104391</v>
      </c>
      <c r="K68" s="35" t="s">
        <v>2438</v>
      </c>
      <c r="L68" s="35">
        <v>3447000</v>
      </c>
      <c r="M68" s="35" t="s">
        <v>3735</v>
      </c>
      <c r="N68" s="35" t="s">
        <v>4181</v>
      </c>
      <c r="O68" s="35">
        <v>3428</v>
      </c>
      <c r="P68" s="140">
        <v>43073</v>
      </c>
      <c r="Q68" s="140">
        <v>46724</v>
      </c>
      <c r="R68" s="62" t="s">
        <v>2440</v>
      </c>
      <c r="S68" s="62" t="s">
        <v>2448</v>
      </c>
      <c r="T68" s="35" t="s">
        <v>2443</v>
      </c>
      <c r="U68" s="138" t="s">
        <v>3096</v>
      </c>
      <c r="V68" s="138" t="s">
        <v>2347</v>
      </c>
      <c r="W68" s="138">
        <v>2553</v>
      </c>
      <c r="X68" s="143">
        <v>103194.458</v>
      </c>
      <c r="Y68" s="143">
        <v>94579.005</v>
      </c>
      <c r="Z68" s="69" t="s">
        <v>3741</v>
      </c>
      <c r="AA68" s="176"/>
      <c r="AB68" s="176"/>
      <c r="AC68" s="176"/>
      <c r="AD68" s="176"/>
      <c r="AE68" s="176"/>
      <c r="AF68" s="176"/>
      <c r="AG68" s="95"/>
      <c r="AH68" s="95"/>
      <c r="AI68" s="69"/>
      <c r="AJ68" s="35"/>
      <c r="AK68" s="69"/>
      <c r="AL68" s="69"/>
      <c r="AM68" s="145">
        <f t="shared" si="0"/>
        <v>0</v>
      </c>
      <c r="AN68" s="146">
        <f t="shared" si="1"/>
        <v>0</v>
      </c>
      <c r="AO68" s="176"/>
    </row>
    <row r="69" spans="1:41" ht="12.75" customHeight="1">
      <c r="A69" s="215" t="s">
        <v>2414</v>
      </c>
      <c r="B69" s="216"/>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119">
        <f>AM45+AM46+AM47+AM48+AM50+AM62</f>
        <v>0</v>
      </c>
      <c r="AN69" s="119">
        <f>AN45+AN46+AN47+AN48+AN50+AN62</f>
        <v>0</v>
      </c>
      <c r="AO69" s="176"/>
    </row>
    <row r="70" spans="1:43" ht="12.75" customHeight="1">
      <c r="A70" s="213" t="s">
        <v>2415</v>
      </c>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73">
        <f>SUM(AM45:AM68)</f>
        <v>26843.1190272</v>
      </c>
      <c r="AN70" s="73">
        <f>SUM(AN45:AN68)</f>
        <v>51129.750528</v>
      </c>
      <c r="AO70" s="176"/>
      <c r="AP70" s="101"/>
      <c r="AQ70" s="101"/>
    </row>
    <row r="71" spans="1:41" ht="56.25" customHeight="1">
      <c r="A71" s="35">
        <v>63</v>
      </c>
      <c r="B71" s="35" t="s">
        <v>1195</v>
      </c>
      <c r="C71" s="35" t="s">
        <v>2</v>
      </c>
      <c r="D71" s="35">
        <v>4</v>
      </c>
      <c r="E71" s="142" t="s">
        <v>1196</v>
      </c>
      <c r="F71" s="142" t="s">
        <v>1203</v>
      </c>
      <c r="G71" s="142" t="s">
        <v>2451</v>
      </c>
      <c r="H71" s="35" t="s">
        <v>4166</v>
      </c>
      <c r="I71" s="35" t="s">
        <v>4127</v>
      </c>
      <c r="J71" s="139">
        <v>29104391</v>
      </c>
      <c r="K71" s="35" t="s">
        <v>2438</v>
      </c>
      <c r="L71" s="35">
        <v>3447000</v>
      </c>
      <c r="M71" s="35" t="s">
        <v>3735</v>
      </c>
      <c r="N71" s="35" t="s">
        <v>4181</v>
      </c>
      <c r="O71" s="35">
        <v>3428</v>
      </c>
      <c r="P71" s="140">
        <v>43073</v>
      </c>
      <c r="Q71" s="140">
        <v>46724</v>
      </c>
      <c r="R71" s="62" t="s">
        <v>2440</v>
      </c>
      <c r="S71" s="144" t="s">
        <v>2436</v>
      </c>
      <c r="T71" s="35" t="s">
        <v>2443</v>
      </c>
      <c r="U71" s="142" t="s">
        <v>3097</v>
      </c>
      <c r="V71" s="142" t="s">
        <v>1976</v>
      </c>
      <c r="W71" s="142">
        <v>2552</v>
      </c>
      <c r="X71" s="143">
        <v>104592.76</v>
      </c>
      <c r="Y71" s="143">
        <v>97199.84</v>
      </c>
      <c r="Z71" s="69" t="s">
        <v>4081</v>
      </c>
      <c r="AA71" s="104">
        <v>43675</v>
      </c>
      <c r="AB71" s="82" t="s">
        <v>3943</v>
      </c>
      <c r="AC71" s="82">
        <v>113</v>
      </c>
      <c r="AD71" s="82">
        <v>107</v>
      </c>
      <c r="AE71" s="82">
        <v>20.74</v>
      </c>
      <c r="AF71" s="82">
        <v>24</v>
      </c>
      <c r="AG71" s="95">
        <f>AE71*AC71*AF71*0.0036</f>
        <v>202.488768</v>
      </c>
      <c r="AH71" s="95">
        <f>AE71*AD71*AF71*0.0036</f>
        <v>191.73715199999998</v>
      </c>
      <c r="AI71" s="69">
        <v>30</v>
      </c>
      <c r="AJ71" s="35">
        <v>12</v>
      </c>
      <c r="AK71" s="69">
        <v>0.74</v>
      </c>
      <c r="AL71" s="69">
        <v>0.77</v>
      </c>
      <c r="AM71" s="145">
        <f t="shared" si="0"/>
        <v>53943.00779519999</v>
      </c>
      <c r="AN71" s="146">
        <f t="shared" si="1"/>
        <v>53149.538534399995</v>
      </c>
      <c r="AO71" s="82" t="s">
        <v>2455</v>
      </c>
    </row>
    <row r="72" spans="1:41" ht="49.5" customHeight="1">
      <c r="A72" s="35">
        <v>64</v>
      </c>
      <c r="B72" s="35" t="s">
        <v>1195</v>
      </c>
      <c r="C72" s="35" t="s">
        <v>2</v>
      </c>
      <c r="D72" s="35">
        <v>4</v>
      </c>
      <c r="E72" s="142" t="s">
        <v>1197</v>
      </c>
      <c r="F72" s="142" t="s">
        <v>1204</v>
      </c>
      <c r="G72" s="142" t="s">
        <v>2451</v>
      </c>
      <c r="H72" s="35" t="s">
        <v>4166</v>
      </c>
      <c r="I72" s="35" t="s">
        <v>4127</v>
      </c>
      <c r="J72" s="139">
        <v>29104391</v>
      </c>
      <c r="K72" s="35" t="s">
        <v>2438</v>
      </c>
      <c r="L72" s="35">
        <v>3447000</v>
      </c>
      <c r="M72" s="35" t="s">
        <v>3735</v>
      </c>
      <c r="N72" s="35" t="s">
        <v>4181</v>
      </c>
      <c r="O72" s="35">
        <v>3428</v>
      </c>
      <c r="P72" s="140">
        <v>43073</v>
      </c>
      <c r="Q72" s="140">
        <v>46724</v>
      </c>
      <c r="R72" s="62" t="s">
        <v>2440</v>
      </c>
      <c r="S72" s="35" t="s">
        <v>2441</v>
      </c>
      <c r="T72" s="35" t="s">
        <v>2443</v>
      </c>
      <c r="U72" s="142" t="s">
        <v>3098</v>
      </c>
      <c r="V72" s="142" t="s">
        <v>1977</v>
      </c>
      <c r="W72" s="142">
        <v>2552</v>
      </c>
      <c r="X72" s="143">
        <v>104590.92</v>
      </c>
      <c r="Y72" s="143">
        <v>97206.62</v>
      </c>
      <c r="Z72" s="35" t="s">
        <v>4082</v>
      </c>
      <c r="AA72" s="104">
        <v>43675</v>
      </c>
      <c r="AB72" s="135">
        <v>0.5972222222222222</v>
      </c>
      <c r="AC72" s="82">
        <v>361</v>
      </c>
      <c r="AD72" s="82">
        <v>220</v>
      </c>
      <c r="AE72" s="82">
        <v>6.214</v>
      </c>
      <c r="AF72" s="82">
        <v>24</v>
      </c>
      <c r="AG72" s="95">
        <f>AE72*AC72*AF72*0.0036</f>
        <v>193.8171456</v>
      </c>
      <c r="AH72" s="95">
        <f>AE72*AD72*AF72*0.0036</f>
        <v>118.11571200000002</v>
      </c>
      <c r="AI72" s="69">
        <v>30</v>
      </c>
      <c r="AJ72" s="35">
        <v>12</v>
      </c>
      <c r="AK72" s="69">
        <v>0.74</v>
      </c>
      <c r="AL72" s="69">
        <v>0.77</v>
      </c>
      <c r="AM72" s="145">
        <f t="shared" si="0"/>
        <v>51632.88758784</v>
      </c>
      <c r="AN72" s="146">
        <f t="shared" si="1"/>
        <v>32741.675366400006</v>
      </c>
      <c r="AO72" s="82" t="s">
        <v>2455</v>
      </c>
    </row>
    <row r="73" spans="1:41" ht="25.5">
      <c r="A73" s="35">
        <v>65</v>
      </c>
      <c r="B73" s="35" t="s">
        <v>1195</v>
      </c>
      <c r="C73" s="35" t="s">
        <v>2</v>
      </c>
      <c r="D73" s="35">
        <v>4</v>
      </c>
      <c r="E73" s="142" t="s">
        <v>1198</v>
      </c>
      <c r="F73" s="142" t="s">
        <v>1205</v>
      </c>
      <c r="G73" s="142" t="s">
        <v>2451</v>
      </c>
      <c r="H73" s="35" t="s">
        <v>4166</v>
      </c>
      <c r="I73" s="35" t="s">
        <v>4127</v>
      </c>
      <c r="J73" s="139">
        <v>29104391</v>
      </c>
      <c r="K73" s="35" t="s">
        <v>2438</v>
      </c>
      <c r="L73" s="35">
        <v>3447000</v>
      </c>
      <c r="M73" s="35" t="s">
        <v>3735</v>
      </c>
      <c r="N73" s="35" t="s">
        <v>4181</v>
      </c>
      <c r="O73" s="35">
        <v>3428</v>
      </c>
      <c r="P73" s="140">
        <v>43073</v>
      </c>
      <c r="Q73" s="140">
        <v>46724</v>
      </c>
      <c r="R73" s="62" t="s">
        <v>2440</v>
      </c>
      <c r="S73" s="35" t="s">
        <v>2441</v>
      </c>
      <c r="T73" s="35" t="s">
        <v>2443</v>
      </c>
      <c r="U73" s="142" t="s">
        <v>3099</v>
      </c>
      <c r="V73" s="142" t="s">
        <v>1978</v>
      </c>
      <c r="W73" s="142">
        <v>2552</v>
      </c>
      <c r="X73" s="143">
        <v>104604.44</v>
      </c>
      <c r="Y73" s="143">
        <v>97209.39</v>
      </c>
      <c r="Z73" s="69" t="s">
        <v>3741</v>
      </c>
      <c r="AA73" s="176"/>
      <c r="AB73" s="176"/>
      <c r="AC73" s="176"/>
      <c r="AD73" s="176"/>
      <c r="AE73" s="176"/>
      <c r="AF73" s="176"/>
      <c r="AG73" s="95"/>
      <c r="AH73" s="95"/>
      <c r="AI73" s="69"/>
      <c r="AJ73" s="35"/>
      <c r="AK73" s="69"/>
      <c r="AL73" s="69"/>
      <c r="AM73" s="145">
        <f t="shared" si="0"/>
        <v>0</v>
      </c>
      <c r="AN73" s="146">
        <f t="shared" si="1"/>
        <v>0</v>
      </c>
      <c r="AO73" s="82" t="s">
        <v>2455</v>
      </c>
    </row>
    <row r="74" spans="1:41" ht="25.5">
      <c r="A74" s="35">
        <v>66</v>
      </c>
      <c r="B74" s="35" t="s">
        <v>1195</v>
      </c>
      <c r="C74" s="35" t="s">
        <v>2</v>
      </c>
      <c r="D74" s="35">
        <v>4</v>
      </c>
      <c r="E74" s="142" t="s">
        <v>1199</v>
      </c>
      <c r="F74" s="142" t="s">
        <v>1206</v>
      </c>
      <c r="G74" s="142" t="s">
        <v>2451</v>
      </c>
      <c r="H74" s="35" t="s">
        <v>4166</v>
      </c>
      <c r="I74" s="35" t="s">
        <v>4127</v>
      </c>
      <c r="J74" s="139">
        <v>29104391</v>
      </c>
      <c r="K74" s="35" t="s">
        <v>2438</v>
      </c>
      <c r="L74" s="35">
        <v>3447000</v>
      </c>
      <c r="M74" s="35" t="s">
        <v>3735</v>
      </c>
      <c r="N74" s="35" t="s">
        <v>4181</v>
      </c>
      <c r="O74" s="35">
        <v>3428</v>
      </c>
      <c r="P74" s="140">
        <v>43073</v>
      </c>
      <c r="Q74" s="140">
        <v>46724</v>
      </c>
      <c r="R74" s="62" t="s">
        <v>2440</v>
      </c>
      <c r="S74" s="35" t="s">
        <v>2441</v>
      </c>
      <c r="T74" s="35" t="s">
        <v>2443</v>
      </c>
      <c r="U74" s="142" t="s">
        <v>3100</v>
      </c>
      <c r="V74" s="142" t="s">
        <v>1979</v>
      </c>
      <c r="W74" s="142">
        <v>2553</v>
      </c>
      <c r="X74" s="143">
        <v>104784.83</v>
      </c>
      <c r="Y74" s="143">
        <v>97249.47</v>
      </c>
      <c r="Z74" s="69" t="s">
        <v>3741</v>
      </c>
      <c r="AA74" s="176"/>
      <c r="AB74" s="176"/>
      <c r="AC74" s="176"/>
      <c r="AD74" s="176"/>
      <c r="AE74" s="176"/>
      <c r="AF74" s="176"/>
      <c r="AG74" s="95"/>
      <c r="AH74" s="95"/>
      <c r="AI74" s="69"/>
      <c r="AJ74" s="35"/>
      <c r="AK74" s="69"/>
      <c r="AL74" s="69"/>
      <c r="AM74" s="145">
        <f aca="true" t="shared" si="2" ref="AM74:AM136">AG74*AI74*AJ74*AK74</f>
        <v>0</v>
      </c>
      <c r="AN74" s="146">
        <f aca="true" t="shared" si="3" ref="AN74:AN136">AH74*AI74*AJ74*AL74</f>
        <v>0</v>
      </c>
      <c r="AO74" s="82" t="s">
        <v>2413</v>
      </c>
    </row>
    <row r="75" spans="1:41" ht="25.5">
      <c r="A75" s="35">
        <v>67</v>
      </c>
      <c r="B75" s="35" t="s">
        <v>1195</v>
      </c>
      <c r="C75" s="35" t="s">
        <v>2</v>
      </c>
      <c r="D75" s="35">
        <v>4</v>
      </c>
      <c r="E75" s="142" t="s">
        <v>1200</v>
      </c>
      <c r="F75" s="142" t="s">
        <v>1207</v>
      </c>
      <c r="G75" s="142" t="s">
        <v>2451</v>
      </c>
      <c r="H75" s="35" t="s">
        <v>4166</v>
      </c>
      <c r="I75" s="35" t="s">
        <v>4127</v>
      </c>
      <c r="J75" s="139">
        <v>29104391</v>
      </c>
      <c r="K75" s="35" t="s">
        <v>2438</v>
      </c>
      <c r="L75" s="35">
        <v>3447000</v>
      </c>
      <c r="M75" s="35" t="s">
        <v>3735</v>
      </c>
      <c r="N75" s="35" t="s">
        <v>4181</v>
      </c>
      <c r="O75" s="35">
        <v>3428</v>
      </c>
      <c r="P75" s="140">
        <v>43073</v>
      </c>
      <c r="Q75" s="140">
        <v>46724</v>
      </c>
      <c r="R75" s="62" t="s">
        <v>2440</v>
      </c>
      <c r="S75" s="35" t="s">
        <v>2442</v>
      </c>
      <c r="T75" s="35" t="s">
        <v>2443</v>
      </c>
      <c r="U75" s="142" t="s">
        <v>3101</v>
      </c>
      <c r="V75" s="142" t="s">
        <v>1980</v>
      </c>
      <c r="W75" s="142">
        <v>2553</v>
      </c>
      <c r="X75" s="143">
        <v>104816.17</v>
      </c>
      <c r="Y75" s="143">
        <v>97239.29</v>
      </c>
      <c r="Z75" s="69" t="s">
        <v>3741</v>
      </c>
      <c r="AA75" s="176"/>
      <c r="AB75" s="176"/>
      <c r="AC75" s="176"/>
      <c r="AD75" s="176"/>
      <c r="AE75" s="176"/>
      <c r="AF75" s="176"/>
      <c r="AG75" s="95"/>
      <c r="AH75" s="95"/>
      <c r="AI75" s="69"/>
      <c r="AJ75" s="35"/>
      <c r="AK75" s="69"/>
      <c r="AL75" s="69"/>
      <c r="AM75" s="145">
        <f t="shared" si="2"/>
        <v>0</v>
      </c>
      <c r="AN75" s="146">
        <f t="shared" si="3"/>
        <v>0</v>
      </c>
      <c r="AO75" s="82" t="s">
        <v>2413</v>
      </c>
    </row>
    <row r="76" spans="1:41" ht="25.5">
      <c r="A76" s="35">
        <v>68</v>
      </c>
      <c r="B76" s="35" t="s">
        <v>1195</v>
      </c>
      <c r="C76" s="35" t="s">
        <v>2</v>
      </c>
      <c r="D76" s="35">
        <v>4</v>
      </c>
      <c r="E76" s="142" t="s">
        <v>1201</v>
      </c>
      <c r="F76" s="142" t="s">
        <v>1208</v>
      </c>
      <c r="G76" s="142" t="s">
        <v>2451</v>
      </c>
      <c r="H76" s="35" t="s">
        <v>4166</v>
      </c>
      <c r="I76" s="35" t="s">
        <v>4127</v>
      </c>
      <c r="J76" s="139">
        <v>29104391</v>
      </c>
      <c r="K76" s="35" t="s">
        <v>2438</v>
      </c>
      <c r="L76" s="35">
        <v>3447000</v>
      </c>
      <c r="M76" s="35" t="s">
        <v>3735</v>
      </c>
      <c r="N76" s="35" t="s">
        <v>4181</v>
      </c>
      <c r="O76" s="35">
        <v>3428</v>
      </c>
      <c r="P76" s="140">
        <v>43073</v>
      </c>
      <c r="Q76" s="140">
        <v>46724</v>
      </c>
      <c r="R76" s="62" t="s">
        <v>2440</v>
      </c>
      <c r="S76" s="35" t="s">
        <v>2442</v>
      </c>
      <c r="T76" s="35" t="s">
        <v>2443</v>
      </c>
      <c r="U76" s="142" t="s">
        <v>3102</v>
      </c>
      <c r="V76" s="142" t="s">
        <v>1981</v>
      </c>
      <c r="W76" s="142">
        <v>2553</v>
      </c>
      <c r="X76" s="143">
        <v>104816.48</v>
      </c>
      <c r="Y76" s="143">
        <v>97242.68</v>
      </c>
      <c r="Z76" s="69" t="s">
        <v>3741</v>
      </c>
      <c r="AA76" s="176"/>
      <c r="AB76" s="176"/>
      <c r="AC76" s="176"/>
      <c r="AD76" s="176"/>
      <c r="AE76" s="176"/>
      <c r="AF76" s="176"/>
      <c r="AG76" s="95"/>
      <c r="AH76" s="95"/>
      <c r="AI76" s="69"/>
      <c r="AJ76" s="35"/>
      <c r="AK76" s="69"/>
      <c r="AL76" s="69"/>
      <c r="AM76" s="145">
        <f t="shared" si="2"/>
        <v>0</v>
      </c>
      <c r="AN76" s="146">
        <f t="shared" si="3"/>
        <v>0</v>
      </c>
      <c r="AO76" s="82" t="s">
        <v>2455</v>
      </c>
    </row>
    <row r="77" spans="1:41" ht="25.5">
      <c r="A77" s="35">
        <v>69</v>
      </c>
      <c r="B77" s="35" t="s">
        <v>1195</v>
      </c>
      <c r="C77" s="35" t="s">
        <v>2</v>
      </c>
      <c r="D77" s="35">
        <v>4</v>
      </c>
      <c r="E77" s="142" t="s">
        <v>1202</v>
      </c>
      <c r="F77" s="142" t="s">
        <v>1209</v>
      </c>
      <c r="G77" s="142" t="s">
        <v>2451</v>
      </c>
      <c r="H77" s="35" t="s">
        <v>4166</v>
      </c>
      <c r="I77" s="35" t="s">
        <v>4127</v>
      </c>
      <c r="J77" s="139">
        <v>29104391</v>
      </c>
      <c r="K77" s="35" t="s">
        <v>2438</v>
      </c>
      <c r="L77" s="35">
        <v>3447000</v>
      </c>
      <c r="M77" s="35" t="s">
        <v>3735</v>
      </c>
      <c r="N77" s="35" t="s">
        <v>4181</v>
      </c>
      <c r="O77" s="35">
        <v>3428</v>
      </c>
      <c r="P77" s="140">
        <v>43073</v>
      </c>
      <c r="Q77" s="140">
        <v>46724</v>
      </c>
      <c r="R77" s="62" t="s">
        <v>2440</v>
      </c>
      <c r="S77" s="144" t="s">
        <v>2436</v>
      </c>
      <c r="T77" s="35" t="s">
        <v>2443</v>
      </c>
      <c r="U77" s="142" t="s">
        <v>3103</v>
      </c>
      <c r="V77" s="142" t="s">
        <v>1982</v>
      </c>
      <c r="W77" s="142">
        <v>2553</v>
      </c>
      <c r="X77" s="143">
        <v>104823.551</v>
      </c>
      <c r="Y77" s="143">
        <v>97246.078</v>
      </c>
      <c r="Z77" s="69" t="s">
        <v>3741</v>
      </c>
      <c r="AA77" s="176"/>
      <c r="AB77" s="176"/>
      <c r="AC77" s="176"/>
      <c r="AD77" s="176"/>
      <c r="AE77" s="176"/>
      <c r="AF77" s="176"/>
      <c r="AG77" s="95"/>
      <c r="AH77" s="95"/>
      <c r="AI77" s="69"/>
      <c r="AJ77" s="35"/>
      <c r="AK77" s="69"/>
      <c r="AL77" s="69"/>
      <c r="AM77" s="145">
        <f t="shared" si="2"/>
        <v>0</v>
      </c>
      <c r="AN77" s="146">
        <f t="shared" si="3"/>
        <v>0</v>
      </c>
      <c r="AO77" s="176"/>
    </row>
    <row r="78" spans="1:41" ht="12.75" customHeight="1">
      <c r="A78" s="215" t="s">
        <v>2414</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72"/>
      <c r="AN78" s="70"/>
      <c r="AO78" s="176"/>
    </row>
    <row r="79" spans="1:41" ht="12.75" customHeight="1">
      <c r="A79" s="213" t="s">
        <v>2415</v>
      </c>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73">
        <f>SUM(AM71:AM77)</f>
        <v>105575.89538303998</v>
      </c>
      <c r="AN79" s="73">
        <f>SUM(AN71:AN77)</f>
        <v>85891.21390080001</v>
      </c>
      <c r="AO79" s="176"/>
    </row>
    <row r="80" spans="1:41" ht="21" customHeight="1">
      <c r="A80" s="35">
        <v>70</v>
      </c>
      <c r="B80" s="35" t="s">
        <v>73</v>
      </c>
      <c r="C80" s="35" t="s">
        <v>2</v>
      </c>
      <c r="D80" s="35">
        <v>4</v>
      </c>
      <c r="E80" s="35" t="s">
        <v>1210</v>
      </c>
      <c r="F80" s="35" t="s">
        <v>2018</v>
      </c>
      <c r="G80" s="142" t="s">
        <v>2451</v>
      </c>
      <c r="H80" s="35" t="s">
        <v>4166</v>
      </c>
      <c r="I80" s="35" t="s">
        <v>4127</v>
      </c>
      <c r="J80" s="139">
        <v>29104391</v>
      </c>
      <c r="K80" s="35" t="s">
        <v>2438</v>
      </c>
      <c r="L80" s="35">
        <v>3447000</v>
      </c>
      <c r="M80" s="35" t="s">
        <v>3735</v>
      </c>
      <c r="N80" s="35" t="s">
        <v>4181</v>
      </c>
      <c r="O80" s="35">
        <v>3428</v>
      </c>
      <c r="P80" s="140">
        <v>43073</v>
      </c>
      <c r="Q80" s="140">
        <v>46724</v>
      </c>
      <c r="R80" s="62" t="s">
        <v>2440</v>
      </c>
      <c r="S80" s="35" t="s">
        <v>2441</v>
      </c>
      <c r="T80" s="35" t="s">
        <v>2447</v>
      </c>
      <c r="U80" s="35" t="s">
        <v>3104</v>
      </c>
      <c r="V80" s="35" t="s">
        <v>1983</v>
      </c>
      <c r="W80" s="142">
        <v>2553</v>
      </c>
      <c r="X80" s="143">
        <v>104590.37</v>
      </c>
      <c r="Y80" s="143">
        <v>98178.81</v>
      </c>
      <c r="Z80" s="69" t="s">
        <v>3741</v>
      </c>
      <c r="AA80" s="176"/>
      <c r="AB80" s="176"/>
      <c r="AC80" s="178"/>
      <c r="AD80" s="93"/>
      <c r="AE80" s="200"/>
      <c r="AF80" s="93"/>
      <c r="AG80" s="93"/>
      <c r="AH80" s="93"/>
      <c r="AI80" s="93"/>
      <c r="AJ80" s="93"/>
      <c r="AK80" s="93"/>
      <c r="AL80" s="93"/>
      <c r="AM80" s="117">
        <f t="shared" si="2"/>
        <v>0</v>
      </c>
      <c r="AN80" s="118">
        <f t="shared" si="3"/>
        <v>0</v>
      </c>
      <c r="AO80" s="82" t="s">
        <v>2457</v>
      </c>
    </row>
    <row r="81" spans="1:41" ht="12.75" customHeight="1">
      <c r="A81" s="35">
        <v>71</v>
      </c>
      <c r="B81" s="35" t="s">
        <v>73</v>
      </c>
      <c r="C81" s="35" t="s">
        <v>2</v>
      </c>
      <c r="D81" s="35">
        <v>4</v>
      </c>
      <c r="E81" s="35" t="s">
        <v>1247</v>
      </c>
      <c r="F81" s="138" t="s">
        <v>1250</v>
      </c>
      <c r="G81" s="142" t="s">
        <v>2451</v>
      </c>
      <c r="H81" s="35" t="s">
        <v>4166</v>
      </c>
      <c r="I81" s="35" t="s">
        <v>4127</v>
      </c>
      <c r="J81" s="139">
        <v>29104391</v>
      </c>
      <c r="K81" s="35" t="s">
        <v>2438</v>
      </c>
      <c r="L81" s="35">
        <v>3447000</v>
      </c>
      <c r="M81" s="35" t="s">
        <v>3735</v>
      </c>
      <c r="N81" s="35" t="s">
        <v>4181</v>
      </c>
      <c r="O81" s="35">
        <v>3428</v>
      </c>
      <c r="P81" s="140">
        <v>43073</v>
      </c>
      <c r="Q81" s="140">
        <v>46724</v>
      </c>
      <c r="R81" s="62" t="s">
        <v>2440</v>
      </c>
      <c r="S81" s="35" t="s">
        <v>2441</v>
      </c>
      <c r="T81" s="142" t="s">
        <v>2443</v>
      </c>
      <c r="U81" s="138" t="s">
        <v>3105</v>
      </c>
      <c r="V81" s="138" t="s">
        <v>1984</v>
      </c>
      <c r="W81" s="138">
        <v>2554</v>
      </c>
      <c r="X81" s="143">
        <v>104613.72</v>
      </c>
      <c r="Y81" s="143">
        <v>98128.86</v>
      </c>
      <c r="Z81" s="69" t="s">
        <v>3741</v>
      </c>
      <c r="AA81" s="176"/>
      <c r="AB81" s="176"/>
      <c r="AC81" s="176"/>
      <c r="AD81" s="176"/>
      <c r="AE81" s="201"/>
      <c r="AF81" s="176"/>
      <c r="AG81" s="95"/>
      <c r="AH81" s="95"/>
      <c r="AI81" s="69"/>
      <c r="AJ81" s="35"/>
      <c r="AK81" s="69"/>
      <c r="AL81" s="69"/>
      <c r="AM81" s="145">
        <f t="shared" si="2"/>
        <v>0</v>
      </c>
      <c r="AN81" s="146">
        <f t="shared" si="3"/>
        <v>0</v>
      </c>
      <c r="AO81" s="82" t="s">
        <v>2478</v>
      </c>
    </row>
    <row r="82" spans="1:41" ht="25.5">
      <c r="A82" s="35">
        <v>72</v>
      </c>
      <c r="B82" s="35" t="s">
        <v>73</v>
      </c>
      <c r="C82" s="35" t="s">
        <v>2</v>
      </c>
      <c r="D82" s="35">
        <v>4</v>
      </c>
      <c r="E82" s="35" t="s">
        <v>1248</v>
      </c>
      <c r="F82" s="138" t="s">
        <v>1251</v>
      </c>
      <c r="G82" s="142" t="s">
        <v>2451</v>
      </c>
      <c r="H82" s="35" t="s">
        <v>4166</v>
      </c>
      <c r="I82" s="35" t="s">
        <v>4127</v>
      </c>
      <c r="J82" s="139">
        <v>29104391</v>
      </c>
      <c r="K82" s="35" t="s">
        <v>2438</v>
      </c>
      <c r="L82" s="35">
        <v>3447000</v>
      </c>
      <c r="M82" s="35" t="s">
        <v>3735</v>
      </c>
      <c r="N82" s="35" t="s">
        <v>4181</v>
      </c>
      <c r="O82" s="35">
        <v>3428</v>
      </c>
      <c r="P82" s="140">
        <v>43073</v>
      </c>
      <c r="Q82" s="140">
        <v>46724</v>
      </c>
      <c r="R82" s="62" t="s">
        <v>2440</v>
      </c>
      <c r="S82" s="35" t="s">
        <v>2441</v>
      </c>
      <c r="T82" s="142" t="s">
        <v>2443</v>
      </c>
      <c r="U82" s="138" t="s">
        <v>3106</v>
      </c>
      <c r="V82" s="138" t="s">
        <v>1985</v>
      </c>
      <c r="W82" s="138">
        <v>2554</v>
      </c>
      <c r="X82" s="143">
        <v>104613.11</v>
      </c>
      <c r="Y82" s="143">
        <v>97723.05</v>
      </c>
      <c r="Z82" s="69" t="s">
        <v>3741</v>
      </c>
      <c r="AA82" s="176"/>
      <c r="AB82" s="176"/>
      <c r="AC82" s="176"/>
      <c r="AD82" s="176"/>
      <c r="AE82" s="201"/>
      <c r="AF82" s="176"/>
      <c r="AG82" s="95"/>
      <c r="AH82" s="95"/>
      <c r="AI82" s="69"/>
      <c r="AJ82" s="35"/>
      <c r="AK82" s="69"/>
      <c r="AL82" s="69"/>
      <c r="AM82" s="145">
        <f t="shared" si="2"/>
        <v>0</v>
      </c>
      <c r="AN82" s="146">
        <f t="shared" si="3"/>
        <v>0</v>
      </c>
      <c r="AO82" s="82" t="s">
        <v>2457</v>
      </c>
    </row>
    <row r="83" spans="1:41" ht="12.75" customHeight="1">
      <c r="A83" s="35">
        <v>73</v>
      </c>
      <c r="B83" s="35" t="s">
        <v>73</v>
      </c>
      <c r="C83" s="35" t="s">
        <v>2</v>
      </c>
      <c r="D83" s="35">
        <v>4</v>
      </c>
      <c r="E83" s="35" t="s">
        <v>1249</v>
      </c>
      <c r="F83" s="138" t="s">
        <v>1251</v>
      </c>
      <c r="G83" s="142" t="s">
        <v>2451</v>
      </c>
      <c r="H83" s="35" t="s">
        <v>4166</v>
      </c>
      <c r="I83" s="35" t="s">
        <v>4127</v>
      </c>
      <c r="J83" s="139">
        <v>29104391</v>
      </c>
      <c r="K83" s="35" t="s">
        <v>2438</v>
      </c>
      <c r="L83" s="35">
        <v>3447000</v>
      </c>
      <c r="M83" s="35" t="s">
        <v>3735</v>
      </c>
      <c r="N83" s="35" t="s">
        <v>4181</v>
      </c>
      <c r="O83" s="35">
        <v>3428</v>
      </c>
      <c r="P83" s="140">
        <v>43073</v>
      </c>
      <c r="Q83" s="140">
        <v>46724</v>
      </c>
      <c r="R83" s="62" t="s">
        <v>2440</v>
      </c>
      <c r="S83" s="35" t="s">
        <v>2441</v>
      </c>
      <c r="T83" s="142" t="s">
        <v>2443</v>
      </c>
      <c r="U83" s="138" t="s">
        <v>3107</v>
      </c>
      <c r="V83" s="138" t="s">
        <v>1986</v>
      </c>
      <c r="W83" s="138">
        <v>2554</v>
      </c>
      <c r="X83" s="143">
        <v>104607.86</v>
      </c>
      <c r="Y83" s="143">
        <v>97717.84</v>
      </c>
      <c r="Z83" s="69" t="s">
        <v>3741</v>
      </c>
      <c r="AA83" s="176"/>
      <c r="AB83" s="176"/>
      <c r="AC83" s="176"/>
      <c r="AD83" s="176"/>
      <c r="AE83" s="201"/>
      <c r="AF83" s="176"/>
      <c r="AG83" s="95"/>
      <c r="AH83" s="95"/>
      <c r="AI83" s="69"/>
      <c r="AJ83" s="35"/>
      <c r="AK83" s="69"/>
      <c r="AL83" s="69"/>
      <c r="AM83" s="145">
        <f t="shared" si="2"/>
        <v>0</v>
      </c>
      <c r="AN83" s="146">
        <f t="shared" si="3"/>
        <v>0</v>
      </c>
      <c r="AO83" s="82" t="s">
        <v>2457</v>
      </c>
    </row>
    <row r="84" spans="1:41" ht="12.75">
      <c r="A84" s="35">
        <v>74</v>
      </c>
      <c r="B84" s="35" t="s">
        <v>73</v>
      </c>
      <c r="C84" s="35" t="s">
        <v>2</v>
      </c>
      <c r="D84" s="35">
        <v>4</v>
      </c>
      <c r="E84" s="35" t="s">
        <v>1211</v>
      </c>
      <c r="F84" s="35" t="s">
        <v>1214</v>
      </c>
      <c r="G84" s="142" t="s">
        <v>2451</v>
      </c>
      <c r="H84" s="35" t="s">
        <v>4166</v>
      </c>
      <c r="I84" s="35" t="s">
        <v>4127</v>
      </c>
      <c r="J84" s="139">
        <v>29104391</v>
      </c>
      <c r="K84" s="35" t="s">
        <v>2438</v>
      </c>
      <c r="L84" s="35">
        <v>3447000</v>
      </c>
      <c r="M84" s="35" t="s">
        <v>3735</v>
      </c>
      <c r="N84" s="35" t="s">
        <v>4181</v>
      </c>
      <c r="O84" s="35">
        <v>3428</v>
      </c>
      <c r="P84" s="140">
        <v>43073</v>
      </c>
      <c r="Q84" s="140">
        <v>46724</v>
      </c>
      <c r="R84" s="62" t="s">
        <v>2440</v>
      </c>
      <c r="S84" s="35" t="s">
        <v>2441</v>
      </c>
      <c r="T84" s="142" t="s">
        <v>2443</v>
      </c>
      <c r="U84" s="35" t="s">
        <v>3108</v>
      </c>
      <c r="V84" s="35" t="s">
        <v>1987</v>
      </c>
      <c r="W84" s="138">
        <v>2554</v>
      </c>
      <c r="X84" s="143">
        <v>104606.32</v>
      </c>
      <c r="Y84" s="143">
        <v>97714.76</v>
      </c>
      <c r="Z84" s="69" t="s">
        <v>3741</v>
      </c>
      <c r="AA84" s="104"/>
      <c r="AB84" s="69"/>
      <c r="AC84" s="69"/>
      <c r="AD84" s="69"/>
      <c r="AE84" s="158"/>
      <c r="AF84" s="69"/>
      <c r="AG84" s="95"/>
      <c r="AH84" s="95"/>
      <c r="AI84" s="69"/>
      <c r="AJ84" s="35"/>
      <c r="AK84" s="35"/>
      <c r="AL84" s="35"/>
      <c r="AM84" s="117">
        <f t="shared" si="2"/>
        <v>0</v>
      </c>
      <c r="AN84" s="118">
        <f t="shared" si="3"/>
        <v>0</v>
      </c>
      <c r="AO84" s="82" t="s">
        <v>2457</v>
      </c>
    </row>
    <row r="85" spans="1:41" ht="25.5">
      <c r="A85" s="35">
        <v>75</v>
      </c>
      <c r="B85" s="35" t="s">
        <v>73</v>
      </c>
      <c r="C85" s="35" t="s">
        <v>2</v>
      </c>
      <c r="D85" s="35">
        <v>4</v>
      </c>
      <c r="E85" s="35" t="s">
        <v>1252</v>
      </c>
      <c r="F85" s="138" t="s">
        <v>1254</v>
      </c>
      <c r="G85" s="142" t="s">
        <v>2451</v>
      </c>
      <c r="H85" s="35" t="s">
        <v>4166</v>
      </c>
      <c r="I85" s="35" t="s">
        <v>4127</v>
      </c>
      <c r="J85" s="139">
        <v>29104391</v>
      </c>
      <c r="K85" s="35" t="s">
        <v>2438</v>
      </c>
      <c r="L85" s="35">
        <v>3447000</v>
      </c>
      <c r="M85" s="35" t="s">
        <v>3735</v>
      </c>
      <c r="N85" s="35" t="s">
        <v>4181</v>
      </c>
      <c r="O85" s="35">
        <v>3428</v>
      </c>
      <c r="P85" s="140">
        <v>43073</v>
      </c>
      <c r="Q85" s="140">
        <v>46724</v>
      </c>
      <c r="R85" s="62" t="s">
        <v>2440</v>
      </c>
      <c r="S85" s="35" t="s">
        <v>2441</v>
      </c>
      <c r="T85" s="142" t="s">
        <v>2443</v>
      </c>
      <c r="U85" s="138" t="s">
        <v>3109</v>
      </c>
      <c r="V85" s="138" t="s">
        <v>1988</v>
      </c>
      <c r="W85" s="138">
        <v>2556</v>
      </c>
      <c r="X85" s="143">
        <v>104615.22</v>
      </c>
      <c r="Y85" s="143">
        <v>97464.52</v>
      </c>
      <c r="Z85" s="69" t="s">
        <v>3741</v>
      </c>
      <c r="AA85" s="176"/>
      <c r="AB85" s="176"/>
      <c r="AC85" s="176"/>
      <c r="AD85" s="176"/>
      <c r="AE85" s="201"/>
      <c r="AF85" s="176"/>
      <c r="AG85" s="95"/>
      <c r="AH85" s="95"/>
      <c r="AI85" s="69"/>
      <c r="AJ85" s="35"/>
      <c r="AK85" s="69"/>
      <c r="AL85" s="69"/>
      <c r="AM85" s="145">
        <f t="shared" si="2"/>
        <v>0</v>
      </c>
      <c r="AN85" s="146">
        <f t="shared" si="3"/>
        <v>0</v>
      </c>
      <c r="AO85" s="82" t="s">
        <v>2457</v>
      </c>
    </row>
    <row r="86" spans="1:41" ht="25.5">
      <c r="A86" s="35">
        <v>76</v>
      </c>
      <c r="B86" s="35" t="s">
        <v>73</v>
      </c>
      <c r="C86" s="35" t="s">
        <v>2</v>
      </c>
      <c r="D86" s="35">
        <v>4</v>
      </c>
      <c r="E86" s="35" t="s">
        <v>1253</v>
      </c>
      <c r="F86" s="138" t="s">
        <v>1254</v>
      </c>
      <c r="G86" s="142" t="s">
        <v>2451</v>
      </c>
      <c r="H86" s="35" t="s">
        <v>4166</v>
      </c>
      <c r="I86" s="35" t="s">
        <v>4127</v>
      </c>
      <c r="J86" s="139">
        <v>29104391</v>
      </c>
      <c r="K86" s="35" t="s">
        <v>2438</v>
      </c>
      <c r="L86" s="35">
        <v>3447000</v>
      </c>
      <c r="M86" s="35" t="s">
        <v>3735</v>
      </c>
      <c r="N86" s="35" t="s">
        <v>4181</v>
      </c>
      <c r="O86" s="35">
        <v>3428</v>
      </c>
      <c r="P86" s="140">
        <v>43073</v>
      </c>
      <c r="Q86" s="140">
        <v>46724</v>
      </c>
      <c r="R86" s="62" t="s">
        <v>2440</v>
      </c>
      <c r="S86" s="138" t="s">
        <v>2442</v>
      </c>
      <c r="T86" s="142" t="s">
        <v>2443</v>
      </c>
      <c r="U86" s="138" t="s">
        <v>3110</v>
      </c>
      <c r="V86" s="138" t="s">
        <v>1989</v>
      </c>
      <c r="W86" s="138">
        <v>2555</v>
      </c>
      <c r="X86" s="143">
        <v>104618.65</v>
      </c>
      <c r="Y86" s="143">
        <v>97439.92</v>
      </c>
      <c r="Z86" s="69" t="s">
        <v>3741</v>
      </c>
      <c r="AA86" s="176"/>
      <c r="AB86" s="176"/>
      <c r="AC86" s="176"/>
      <c r="AD86" s="176"/>
      <c r="AE86" s="201"/>
      <c r="AF86" s="176"/>
      <c r="AG86" s="95"/>
      <c r="AH86" s="95"/>
      <c r="AI86" s="69"/>
      <c r="AJ86" s="35"/>
      <c r="AK86" s="69"/>
      <c r="AL86" s="69"/>
      <c r="AM86" s="145">
        <f t="shared" si="2"/>
        <v>0</v>
      </c>
      <c r="AN86" s="146">
        <f t="shared" si="3"/>
        <v>0</v>
      </c>
      <c r="AO86" s="82" t="s">
        <v>2457</v>
      </c>
    </row>
    <row r="87" spans="1:41" ht="12.75">
      <c r="A87" s="35">
        <v>77</v>
      </c>
      <c r="B87" s="35" t="s">
        <v>73</v>
      </c>
      <c r="C87" s="35" t="s">
        <v>2</v>
      </c>
      <c r="D87" s="35">
        <v>4</v>
      </c>
      <c r="E87" s="35" t="s">
        <v>1212</v>
      </c>
      <c r="F87" s="35" t="s">
        <v>1215</v>
      </c>
      <c r="G87" s="142" t="s">
        <v>2451</v>
      </c>
      <c r="H87" s="35" t="s">
        <v>4166</v>
      </c>
      <c r="I87" s="35" t="s">
        <v>4127</v>
      </c>
      <c r="J87" s="139">
        <v>29104391</v>
      </c>
      <c r="K87" s="35" t="s">
        <v>2438</v>
      </c>
      <c r="L87" s="35">
        <v>3447000</v>
      </c>
      <c r="M87" s="35" t="s">
        <v>3735</v>
      </c>
      <c r="N87" s="35" t="s">
        <v>4181</v>
      </c>
      <c r="O87" s="35">
        <v>3428</v>
      </c>
      <c r="P87" s="140">
        <v>43073</v>
      </c>
      <c r="Q87" s="140">
        <v>46724</v>
      </c>
      <c r="R87" s="62" t="s">
        <v>2440</v>
      </c>
      <c r="S87" s="35" t="s">
        <v>2441</v>
      </c>
      <c r="T87" s="142" t="s">
        <v>2443</v>
      </c>
      <c r="U87" s="35" t="s">
        <v>3111</v>
      </c>
      <c r="V87" s="35" t="s">
        <v>3112</v>
      </c>
      <c r="W87" s="35">
        <v>2553</v>
      </c>
      <c r="X87" s="143">
        <v>104765.16</v>
      </c>
      <c r="Y87" s="143">
        <v>97318.23</v>
      </c>
      <c r="Z87" s="69" t="s">
        <v>3741</v>
      </c>
      <c r="AA87" s="104"/>
      <c r="AB87" s="69"/>
      <c r="AC87" s="69"/>
      <c r="AD87" s="69"/>
      <c r="AE87" s="158"/>
      <c r="AF87" s="69"/>
      <c r="AG87" s="95"/>
      <c r="AH87" s="95"/>
      <c r="AI87" s="69"/>
      <c r="AJ87" s="35"/>
      <c r="AK87" s="69"/>
      <c r="AL87" s="69"/>
      <c r="AM87" s="117">
        <f t="shared" si="2"/>
        <v>0</v>
      </c>
      <c r="AN87" s="118">
        <f t="shared" si="3"/>
        <v>0</v>
      </c>
      <c r="AO87" s="82" t="s">
        <v>2457</v>
      </c>
    </row>
    <row r="88" spans="1:41" ht="41.25" customHeight="1">
      <c r="A88" s="35">
        <v>78</v>
      </c>
      <c r="B88" s="35" t="s">
        <v>73</v>
      </c>
      <c r="C88" s="35" t="s">
        <v>2</v>
      </c>
      <c r="D88" s="35">
        <v>4</v>
      </c>
      <c r="E88" s="35" t="s">
        <v>1213</v>
      </c>
      <c r="F88" s="35" t="s">
        <v>1226</v>
      </c>
      <c r="G88" s="142" t="s">
        <v>2451</v>
      </c>
      <c r="H88" s="35" t="s">
        <v>4166</v>
      </c>
      <c r="I88" s="35" t="s">
        <v>4127</v>
      </c>
      <c r="J88" s="139">
        <v>29104391</v>
      </c>
      <c r="K88" s="35" t="s">
        <v>2438</v>
      </c>
      <c r="L88" s="35">
        <v>3447000</v>
      </c>
      <c r="M88" s="35" t="s">
        <v>3735</v>
      </c>
      <c r="N88" s="35" t="s">
        <v>4181</v>
      </c>
      <c r="O88" s="35">
        <v>3428</v>
      </c>
      <c r="P88" s="140">
        <v>43073</v>
      </c>
      <c r="Q88" s="140">
        <v>46724</v>
      </c>
      <c r="R88" s="62" t="s">
        <v>2440</v>
      </c>
      <c r="S88" s="35" t="s">
        <v>2441</v>
      </c>
      <c r="T88" s="142" t="s">
        <v>2443</v>
      </c>
      <c r="U88" s="35" t="s">
        <v>3113</v>
      </c>
      <c r="V88" s="35" t="s">
        <v>65</v>
      </c>
      <c r="W88" s="35">
        <v>2553</v>
      </c>
      <c r="X88" s="143">
        <v>104914.81</v>
      </c>
      <c r="Y88" s="143">
        <v>97168.37</v>
      </c>
      <c r="Z88" s="69" t="s">
        <v>3744</v>
      </c>
      <c r="AA88" s="104">
        <v>43563</v>
      </c>
      <c r="AB88" s="82" t="s">
        <v>3926</v>
      </c>
      <c r="AC88" s="82">
        <v>2</v>
      </c>
      <c r="AD88" s="82">
        <v>10</v>
      </c>
      <c r="AE88" s="202">
        <f>((0.469+0.42+0.525+0.379+0.47)/5)</f>
        <v>0.4526</v>
      </c>
      <c r="AF88" s="82">
        <v>24</v>
      </c>
      <c r="AG88" s="95">
        <f>AE88*AC88*AF88*0.0036</f>
        <v>0.07820928</v>
      </c>
      <c r="AH88" s="95">
        <f>AE88*AD88*AF88*0.0036</f>
        <v>0.39104639999999996</v>
      </c>
      <c r="AI88" s="69">
        <v>30</v>
      </c>
      <c r="AJ88" s="35">
        <v>12</v>
      </c>
      <c r="AK88" s="82">
        <v>0.63</v>
      </c>
      <c r="AL88" s="82">
        <v>0.78</v>
      </c>
      <c r="AM88" s="117">
        <f t="shared" si="2"/>
        <v>17.737864704</v>
      </c>
      <c r="AN88" s="118">
        <f t="shared" si="3"/>
        <v>109.80582912</v>
      </c>
      <c r="AO88" s="82" t="s">
        <v>2457</v>
      </c>
    </row>
    <row r="89" spans="1:41" ht="33.75" customHeight="1">
      <c r="A89" s="35">
        <v>79</v>
      </c>
      <c r="B89" s="35" t="s">
        <v>73</v>
      </c>
      <c r="C89" s="35" t="s">
        <v>2</v>
      </c>
      <c r="D89" s="35">
        <v>4</v>
      </c>
      <c r="E89" s="35" t="s">
        <v>1216</v>
      </c>
      <c r="F89" s="35" t="s">
        <v>1227</v>
      </c>
      <c r="G89" s="142" t="s">
        <v>2451</v>
      </c>
      <c r="H89" s="35" t="s">
        <v>4166</v>
      </c>
      <c r="I89" s="35" t="s">
        <v>4127</v>
      </c>
      <c r="J89" s="139">
        <v>29104391</v>
      </c>
      <c r="K89" s="35" t="s">
        <v>2438</v>
      </c>
      <c r="L89" s="35">
        <v>3447000</v>
      </c>
      <c r="M89" s="35" t="s">
        <v>3735</v>
      </c>
      <c r="N89" s="35" t="s">
        <v>4181</v>
      </c>
      <c r="O89" s="35">
        <v>3428</v>
      </c>
      <c r="P89" s="140">
        <v>43073</v>
      </c>
      <c r="Q89" s="140">
        <v>46724</v>
      </c>
      <c r="R89" s="62" t="s">
        <v>2440</v>
      </c>
      <c r="S89" s="138" t="s">
        <v>2442</v>
      </c>
      <c r="T89" s="142" t="s">
        <v>2443</v>
      </c>
      <c r="U89" s="35" t="s">
        <v>3114</v>
      </c>
      <c r="V89" s="35" t="s">
        <v>1990</v>
      </c>
      <c r="W89" s="35">
        <v>2552</v>
      </c>
      <c r="X89" s="143">
        <v>105048.15</v>
      </c>
      <c r="Y89" s="143">
        <v>97029.08</v>
      </c>
      <c r="Z89" s="69" t="s">
        <v>3744</v>
      </c>
      <c r="AA89" s="104">
        <v>43564</v>
      </c>
      <c r="AB89" s="82" t="s">
        <v>2525</v>
      </c>
      <c r="AC89" s="82">
        <v>16</v>
      </c>
      <c r="AD89" s="82">
        <v>30</v>
      </c>
      <c r="AE89" s="202">
        <f>((0.368+0.327+0.405+0.323+0.301)/5)</f>
        <v>0.3448</v>
      </c>
      <c r="AF89" s="82">
        <v>24</v>
      </c>
      <c r="AG89" s="95">
        <f>AE89*AC89*AF89*0.0036</f>
        <v>0.47665152</v>
      </c>
      <c r="AH89" s="95">
        <f>AE89*AD89*AF89*0.0036</f>
        <v>0.8937215999999999</v>
      </c>
      <c r="AI89" s="69">
        <v>30</v>
      </c>
      <c r="AJ89" s="35">
        <v>12</v>
      </c>
      <c r="AK89" s="69">
        <v>0.63</v>
      </c>
      <c r="AL89" s="69">
        <v>0.54</v>
      </c>
      <c r="AM89" s="117">
        <f t="shared" si="2"/>
        <v>108.104564736</v>
      </c>
      <c r="AN89" s="118">
        <f t="shared" si="3"/>
        <v>173.73947904000002</v>
      </c>
      <c r="AO89" s="82" t="s">
        <v>2495</v>
      </c>
    </row>
    <row r="90" spans="1:41" ht="30.75" customHeight="1">
      <c r="A90" s="35">
        <v>80</v>
      </c>
      <c r="B90" s="35" t="s">
        <v>73</v>
      </c>
      <c r="C90" s="35" t="s">
        <v>2</v>
      </c>
      <c r="D90" s="35">
        <v>4</v>
      </c>
      <c r="E90" s="35" t="s">
        <v>1217</v>
      </c>
      <c r="F90" s="35" t="s">
        <v>1228</v>
      </c>
      <c r="G90" s="142" t="s">
        <v>2451</v>
      </c>
      <c r="H90" s="35" t="s">
        <v>4166</v>
      </c>
      <c r="I90" s="35" t="s">
        <v>4127</v>
      </c>
      <c r="J90" s="139">
        <v>29104391</v>
      </c>
      <c r="K90" s="35" t="s">
        <v>2438</v>
      </c>
      <c r="L90" s="35">
        <v>3447000</v>
      </c>
      <c r="M90" s="35" t="s">
        <v>3735</v>
      </c>
      <c r="N90" s="35" t="s">
        <v>4181</v>
      </c>
      <c r="O90" s="35">
        <v>3428</v>
      </c>
      <c r="P90" s="140">
        <v>43073</v>
      </c>
      <c r="Q90" s="140">
        <v>46724</v>
      </c>
      <c r="R90" s="62" t="s">
        <v>2440</v>
      </c>
      <c r="S90" s="35" t="s">
        <v>2441</v>
      </c>
      <c r="T90" s="142" t="s">
        <v>2443</v>
      </c>
      <c r="U90" s="35" t="s">
        <v>3115</v>
      </c>
      <c r="V90" s="35" t="s">
        <v>3116</v>
      </c>
      <c r="W90" s="35">
        <v>2552</v>
      </c>
      <c r="X90" s="143">
        <v>105048.47</v>
      </c>
      <c r="Y90" s="143">
        <v>97030.53</v>
      </c>
      <c r="Z90" s="2" t="s">
        <v>4046</v>
      </c>
      <c r="AA90" s="104"/>
      <c r="AB90" s="69"/>
      <c r="AC90" s="69"/>
      <c r="AD90" s="69"/>
      <c r="AE90" s="158"/>
      <c r="AF90" s="69"/>
      <c r="AG90" s="95"/>
      <c r="AH90" s="95"/>
      <c r="AI90" s="69"/>
      <c r="AJ90" s="35"/>
      <c r="AK90" s="69"/>
      <c r="AL90" s="69"/>
      <c r="AM90" s="117">
        <f>AVERAGE(AM91:AM92)</f>
        <v>1040.938008140208</v>
      </c>
      <c r="AN90" s="117">
        <f>AVERAGE(AN91:AN92)</f>
        <v>618.0824352415908</v>
      </c>
      <c r="AO90" s="82" t="s">
        <v>2457</v>
      </c>
    </row>
    <row r="91" spans="1:41" ht="27.75" customHeight="1">
      <c r="A91" s="35"/>
      <c r="B91" s="35"/>
      <c r="C91" s="35"/>
      <c r="D91" s="35"/>
      <c r="E91" s="35"/>
      <c r="F91" s="35"/>
      <c r="G91" s="142"/>
      <c r="H91" s="35"/>
      <c r="I91" s="35"/>
      <c r="J91" s="139"/>
      <c r="K91" s="35"/>
      <c r="L91" s="35"/>
      <c r="M91" s="35"/>
      <c r="N91" s="35"/>
      <c r="O91" s="35"/>
      <c r="P91" s="140"/>
      <c r="Q91" s="140"/>
      <c r="R91" s="62"/>
      <c r="S91" s="35"/>
      <c r="T91" s="142"/>
      <c r="U91" s="35"/>
      <c r="V91" s="35"/>
      <c r="W91" s="35"/>
      <c r="X91" s="143"/>
      <c r="Y91" s="143"/>
      <c r="Z91" s="69" t="s">
        <v>3744</v>
      </c>
      <c r="AA91" s="104">
        <v>43564</v>
      </c>
      <c r="AB91" s="69" t="s">
        <v>2529</v>
      </c>
      <c r="AC91" s="69">
        <v>59</v>
      </c>
      <c r="AD91" s="69">
        <v>23</v>
      </c>
      <c r="AE91" s="158">
        <f>((0.52+0.43+0.585+0.664+1.814)/5)</f>
        <v>0.8026</v>
      </c>
      <c r="AF91" s="69">
        <v>24</v>
      </c>
      <c r="AG91" s="95">
        <f>AE91*AC91*AF91*0.0036</f>
        <v>4.09133376</v>
      </c>
      <c r="AH91" s="95">
        <f>AE91*AD91*AF91*0.0036</f>
        <v>1.5949267200000001</v>
      </c>
      <c r="AI91" s="69">
        <v>30</v>
      </c>
      <c r="AJ91" s="35">
        <v>12</v>
      </c>
      <c r="AK91" s="69">
        <v>0.62</v>
      </c>
      <c r="AL91" s="69">
        <v>0.78</v>
      </c>
      <c r="AM91" s="127">
        <f>AG91*AI91*AJ91*AK91</f>
        <v>913.1856952320001</v>
      </c>
      <c r="AN91" s="128">
        <f>AH91*AI91*AJ91*AL91</f>
        <v>447.85542297600006</v>
      </c>
      <c r="AO91" s="82"/>
    </row>
    <row r="92" spans="1:41" ht="42" customHeight="1">
      <c r="A92" s="35"/>
      <c r="B92" s="35"/>
      <c r="C92" s="35"/>
      <c r="D92" s="35"/>
      <c r="E92" s="35"/>
      <c r="F92" s="35"/>
      <c r="G92" s="142"/>
      <c r="H92" s="35"/>
      <c r="I92" s="35"/>
      <c r="J92" s="139"/>
      <c r="K92" s="35"/>
      <c r="L92" s="35"/>
      <c r="M92" s="35"/>
      <c r="N92" s="35"/>
      <c r="O92" s="35"/>
      <c r="P92" s="140"/>
      <c r="Q92" s="140"/>
      <c r="R92" s="62"/>
      <c r="S92" s="35"/>
      <c r="T92" s="142"/>
      <c r="U92" s="35"/>
      <c r="V92" s="35"/>
      <c r="W92" s="35"/>
      <c r="X92" s="143"/>
      <c r="Y92" s="143"/>
      <c r="Z92" s="69" t="s">
        <v>4083</v>
      </c>
      <c r="AA92" s="104">
        <v>43664</v>
      </c>
      <c r="AB92" s="69" t="s">
        <v>3931</v>
      </c>
      <c r="AC92" s="69">
        <v>49</v>
      </c>
      <c r="AD92" s="69">
        <v>28.33</v>
      </c>
      <c r="AE92" s="158">
        <v>1.1618316107905395</v>
      </c>
      <c r="AF92" s="69">
        <v>24</v>
      </c>
      <c r="AG92" s="95">
        <f>AE92*AC92*AF92*0.0036</f>
        <v>4.918730307442828</v>
      </c>
      <c r="AH92" s="95">
        <f>AE92*AD92*AF92*0.0036</f>
        <v>2.843829175711333</v>
      </c>
      <c r="AI92" s="69">
        <v>30</v>
      </c>
      <c r="AJ92" s="35">
        <v>12</v>
      </c>
      <c r="AK92" s="69">
        <v>0.66</v>
      </c>
      <c r="AL92" s="69">
        <v>0.77</v>
      </c>
      <c r="AM92" s="127">
        <f>AG92*AI92*AJ92*AK92</f>
        <v>1168.6903210484159</v>
      </c>
      <c r="AN92" s="128">
        <f>AH92*AI92*AJ92*AL92</f>
        <v>788.3094475071815</v>
      </c>
      <c r="AO92" s="82"/>
    </row>
    <row r="93" spans="1:41" ht="33.75" customHeight="1">
      <c r="A93" s="35">
        <v>81</v>
      </c>
      <c r="B93" s="35" t="s">
        <v>73</v>
      </c>
      <c r="C93" s="35" t="s">
        <v>2</v>
      </c>
      <c r="D93" s="35">
        <v>4</v>
      </c>
      <c r="E93" s="35" t="s">
        <v>1218</v>
      </c>
      <c r="F93" s="35" t="s">
        <v>1229</v>
      </c>
      <c r="G93" s="142" t="s">
        <v>2451</v>
      </c>
      <c r="H93" s="35" t="s">
        <v>4166</v>
      </c>
      <c r="I93" s="35" t="s">
        <v>4127</v>
      </c>
      <c r="J93" s="139">
        <v>29104391</v>
      </c>
      <c r="K93" s="35" t="s">
        <v>2438</v>
      </c>
      <c r="L93" s="35">
        <v>3447000</v>
      </c>
      <c r="M93" s="35" t="s">
        <v>3735</v>
      </c>
      <c r="N93" s="35" t="s">
        <v>4181</v>
      </c>
      <c r="O93" s="35">
        <v>3428</v>
      </c>
      <c r="P93" s="140">
        <v>43073</v>
      </c>
      <c r="Q93" s="140">
        <v>46724</v>
      </c>
      <c r="R93" s="62" t="s">
        <v>2440</v>
      </c>
      <c r="S93" s="35" t="s">
        <v>2441</v>
      </c>
      <c r="T93" s="142" t="s">
        <v>2443</v>
      </c>
      <c r="U93" s="35" t="s">
        <v>3117</v>
      </c>
      <c r="V93" s="35" t="s">
        <v>1991</v>
      </c>
      <c r="W93" s="35">
        <v>2552</v>
      </c>
      <c r="X93" s="143">
        <v>105111.16</v>
      </c>
      <c r="Y93" s="143">
        <v>96981.81</v>
      </c>
      <c r="Z93" s="2" t="s">
        <v>4046</v>
      </c>
      <c r="AA93" s="104"/>
      <c r="AB93" s="69"/>
      <c r="AC93" s="69"/>
      <c r="AD93" s="69"/>
      <c r="AE93" s="158"/>
      <c r="AF93" s="69"/>
      <c r="AG93" s="95"/>
      <c r="AH93" s="95"/>
      <c r="AI93" s="69"/>
      <c r="AJ93" s="35"/>
      <c r="AK93" s="69"/>
      <c r="AL93" s="69"/>
      <c r="AM93" s="117">
        <f>AVERAGE(AM94:AM95)</f>
        <v>10793.887917119999</v>
      </c>
      <c r="AN93" s="117">
        <f>AVERAGE(AN94:AN95)</f>
        <v>9644.24822976</v>
      </c>
      <c r="AO93" s="82" t="s">
        <v>2457</v>
      </c>
    </row>
    <row r="94" spans="1:41" ht="27.75" customHeight="1">
      <c r="A94" s="35"/>
      <c r="B94" s="35"/>
      <c r="C94" s="35"/>
      <c r="D94" s="35"/>
      <c r="E94" s="35"/>
      <c r="F94" s="35"/>
      <c r="G94" s="142"/>
      <c r="H94" s="35"/>
      <c r="I94" s="35"/>
      <c r="J94" s="139"/>
      <c r="K94" s="35"/>
      <c r="L94" s="35"/>
      <c r="M94" s="35"/>
      <c r="N94" s="35"/>
      <c r="O94" s="35"/>
      <c r="P94" s="140"/>
      <c r="Q94" s="140"/>
      <c r="R94" s="62"/>
      <c r="S94" s="35"/>
      <c r="T94" s="142"/>
      <c r="U94" s="35"/>
      <c r="V94" s="35"/>
      <c r="W94" s="35"/>
      <c r="X94" s="143"/>
      <c r="Y94" s="143"/>
      <c r="Z94" s="69" t="s">
        <v>3744</v>
      </c>
      <c r="AA94" s="104">
        <v>43577</v>
      </c>
      <c r="AB94" s="69" t="s">
        <v>3898</v>
      </c>
      <c r="AC94" s="69">
        <v>11</v>
      </c>
      <c r="AD94" s="69">
        <v>13</v>
      </c>
      <c r="AE94" s="158">
        <f>((9.432+9.436+9.917+10.481)/4)</f>
        <v>9.816500000000001</v>
      </c>
      <c r="AF94" s="69">
        <v>24</v>
      </c>
      <c r="AG94" s="95">
        <f>AE94*AC94*AF94*0.0036</f>
        <v>9.329601600000002</v>
      </c>
      <c r="AH94" s="95">
        <f>AE94*AD94*AF94*0.0036</f>
        <v>11.025892800000001</v>
      </c>
      <c r="AI94" s="69">
        <v>30</v>
      </c>
      <c r="AJ94" s="35">
        <v>12</v>
      </c>
      <c r="AK94" s="69">
        <v>0.61</v>
      </c>
      <c r="AL94" s="69">
        <v>0.74</v>
      </c>
      <c r="AM94" s="127">
        <f>AG94*AI94*AJ94*AK94</f>
        <v>2048.7805113600007</v>
      </c>
      <c r="AN94" s="128">
        <f>AH94*AI94*AJ94*AL94</f>
        <v>2937.2978419200003</v>
      </c>
      <c r="AO94" s="82"/>
    </row>
    <row r="95" spans="1:41" ht="35.25" customHeight="1">
      <c r="A95" s="35"/>
      <c r="B95" s="35"/>
      <c r="C95" s="35"/>
      <c r="D95" s="35"/>
      <c r="E95" s="35"/>
      <c r="F95" s="35"/>
      <c r="G95" s="142"/>
      <c r="H95" s="35"/>
      <c r="I95" s="35"/>
      <c r="J95" s="139"/>
      <c r="K95" s="35"/>
      <c r="L95" s="35"/>
      <c r="M95" s="35"/>
      <c r="N95" s="35"/>
      <c r="O95" s="35"/>
      <c r="P95" s="140"/>
      <c r="Q95" s="140"/>
      <c r="R95" s="62"/>
      <c r="S95" s="35"/>
      <c r="T95" s="142"/>
      <c r="U95" s="35"/>
      <c r="V95" s="35"/>
      <c r="W95" s="35"/>
      <c r="X95" s="143"/>
      <c r="Y95" s="143"/>
      <c r="Z95" s="69" t="s">
        <v>4084</v>
      </c>
      <c r="AA95" s="104">
        <v>43664</v>
      </c>
      <c r="AB95" s="69" t="s">
        <v>3967</v>
      </c>
      <c r="AC95" s="69">
        <v>47.4</v>
      </c>
      <c r="AD95" s="69">
        <v>34</v>
      </c>
      <c r="AE95" s="158">
        <v>20.08</v>
      </c>
      <c r="AF95" s="69">
        <v>24</v>
      </c>
      <c r="AG95" s="95">
        <f>AE95*AC95*AF95*0.0036</f>
        <v>82.23482879999999</v>
      </c>
      <c r="AH95" s="95">
        <f>AE95*AD95*AF95*0.0036</f>
        <v>58.987007999999996</v>
      </c>
      <c r="AI95" s="69">
        <v>30</v>
      </c>
      <c r="AJ95" s="35">
        <v>12</v>
      </c>
      <c r="AK95" s="69">
        <v>0.66</v>
      </c>
      <c r="AL95" s="69">
        <v>0.77</v>
      </c>
      <c r="AM95" s="127">
        <f>AG95*AI95*AJ95*AK95</f>
        <v>19538.995322879997</v>
      </c>
      <c r="AN95" s="128">
        <f>AH95*AI95*AJ95*AL95</f>
        <v>16351.198617600001</v>
      </c>
      <c r="AO95" s="82"/>
    </row>
    <row r="96" spans="1:41" ht="20.25" customHeight="1">
      <c r="A96" s="35">
        <v>82</v>
      </c>
      <c r="B96" s="35" t="s">
        <v>73</v>
      </c>
      <c r="C96" s="35" t="s">
        <v>2</v>
      </c>
      <c r="D96" s="35">
        <v>4</v>
      </c>
      <c r="E96" s="35" t="s">
        <v>1255</v>
      </c>
      <c r="F96" s="138" t="s">
        <v>1256</v>
      </c>
      <c r="G96" s="142" t="s">
        <v>2451</v>
      </c>
      <c r="H96" s="35" t="s">
        <v>4166</v>
      </c>
      <c r="I96" s="35" t="s">
        <v>4127</v>
      </c>
      <c r="J96" s="139">
        <v>29104391</v>
      </c>
      <c r="K96" s="35" t="s">
        <v>2438</v>
      </c>
      <c r="L96" s="35">
        <v>3447000</v>
      </c>
      <c r="M96" s="35" t="s">
        <v>3735</v>
      </c>
      <c r="N96" s="35" t="s">
        <v>4181</v>
      </c>
      <c r="O96" s="35">
        <v>3428</v>
      </c>
      <c r="P96" s="140">
        <v>43073</v>
      </c>
      <c r="Q96" s="140">
        <v>46724</v>
      </c>
      <c r="R96" s="62" t="s">
        <v>2440</v>
      </c>
      <c r="S96" s="35" t="s">
        <v>2441</v>
      </c>
      <c r="T96" s="142" t="s">
        <v>2443</v>
      </c>
      <c r="U96" s="138" t="s">
        <v>3118</v>
      </c>
      <c r="V96" s="138" t="s">
        <v>1992</v>
      </c>
      <c r="W96" s="138">
        <v>2551</v>
      </c>
      <c r="X96" s="143">
        <v>105314.58</v>
      </c>
      <c r="Y96" s="143">
        <v>96777.68</v>
      </c>
      <c r="Z96" s="69" t="s">
        <v>3741</v>
      </c>
      <c r="AA96" s="82"/>
      <c r="AB96" s="82"/>
      <c r="AC96" s="82"/>
      <c r="AD96" s="82"/>
      <c r="AE96" s="202"/>
      <c r="AF96" s="82"/>
      <c r="AG96" s="95"/>
      <c r="AH96" s="95"/>
      <c r="AI96" s="69"/>
      <c r="AJ96" s="35"/>
      <c r="AK96" s="69"/>
      <c r="AL96" s="69"/>
      <c r="AM96" s="145">
        <f t="shared" si="2"/>
        <v>0</v>
      </c>
      <c r="AN96" s="146">
        <f t="shared" si="3"/>
        <v>0</v>
      </c>
      <c r="AO96" s="82" t="s">
        <v>2457</v>
      </c>
    </row>
    <row r="97" spans="1:41" ht="22.5" customHeight="1">
      <c r="A97" s="35">
        <v>83</v>
      </c>
      <c r="B97" s="35" t="s">
        <v>73</v>
      </c>
      <c r="C97" s="35" t="s">
        <v>2</v>
      </c>
      <c r="D97" s="35">
        <v>4</v>
      </c>
      <c r="E97" s="35" t="s">
        <v>1257</v>
      </c>
      <c r="F97" s="138" t="s">
        <v>1258</v>
      </c>
      <c r="G97" s="142" t="s">
        <v>2451</v>
      </c>
      <c r="H97" s="35" t="s">
        <v>4166</v>
      </c>
      <c r="I97" s="35" t="s">
        <v>4127</v>
      </c>
      <c r="J97" s="139">
        <v>29104391</v>
      </c>
      <c r="K97" s="35" t="s">
        <v>2438</v>
      </c>
      <c r="L97" s="35">
        <v>3447000</v>
      </c>
      <c r="M97" s="35" t="s">
        <v>3735</v>
      </c>
      <c r="N97" s="35" t="s">
        <v>4181</v>
      </c>
      <c r="O97" s="35">
        <v>3428</v>
      </c>
      <c r="P97" s="140">
        <v>43073</v>
      </c>
      <c r="Q97" s="140">
        <v>46724</v>
      </c>
      <c r="R97" s="62" t="s">
        <v>2440</v>
      </c>
      <c r="S97" s="35" t="s">
        <v>2441</v>
      </c>
      <c r="T97" s="142" t="s">
        <v>2443</v>
      </c>
      <c r="U97" s="138" t="s">
        <v>3119</v>
      </c>
      <c r="V97" s="138" t="s">
        <v>1993</v>
      </c>
      <c r="W97" s="35">
        <v>2552</v>
      </c>
      <c r="X97" s="143">
        <v>105490.34</v>
      </c>
      <c r="Y97" s="143">
        <v>96617.64</v>
      </c>
      <c r="Z97" s="69" t="s">
        <v>3741</v>
      </c>
      <c r="AA97" s="82"/>
      <c r="AB97" s="82"/>
      <c r="AC97" s="82"/>
      <c r="AD97" s="82"/>
      <c r="AE97" s="202"/>
      <c r="AF97" s="82"/>
      <c r="AG97" s="95"/>
      <c r="AH97" s="95"/>
      <c r="AI97" s="69"/>
      <c r="AJ97" s="35"/>
      <c r="AK97" s="69"/>
      <c r="AL97" s="69"/>
      <c r="AM97" s="145">
        <f t="shared" si="2"/>
        <v>0</v>
      </c>
      <c r="AN97" s="146">
        <f t="shared" si="3"/>
        <v>0</v>
      </c>
      <c r="AO97" s="82" t="s">
        <v>2457</v>
      </c>
    </row>
    <row r="98" spans="1:41" ht="12.75">
      <c r="A98" s="35">
        <v>84</v>
      </c>
      <c r="B98" s="35" t="s">
        <v>73</v>
      </c>
      <c r="C98" s="35" t="s">
        <v>2</v>
      </c>
      <c r="D98" s="35">
        <v>4</v>
      </c>
      <c r="E98" s="35" t="s">
        <v>1222</v>
      </c>
      <c r="F98" s="35" t="s">
        <v>1230</v>
      </c>
      <c r="G98" s="142" t="s">
        <v>2451</v>
      </c>
      <c r="H98" s="35" t="s">
        <v>4166</v>
      </c>
      <c r="I98" s="35" t="s">
        <v>4127</v>
      </c>
      <c r="J98" s="139">
        <v>29104391</v>
      </c>
      <c r="K98" s="35" t="s">
        <v>2438</v>
      </c>
      <c r="L98" s="35">
        <v>3447000</v>
      </c>
      <c r="M98" s="35" t="s">
        <v>3735</v>
      </c>
      <c r="N98" s="35" t="s">
        <v>4181</v>
      </c>
      <c r="O98" s="35">
        <v>3428</v>
      </c>
      <c r="P98" s="140">
        <v>43073</v>
      </c>
      <c r="Q98" s="140">
        <v>46724</v>
      </c>
      <c r="R98" s="62" t="s">
        <v>2440</v>
      </c>
      <c r="S98" s="35" t="s">
        <v>2441</v>
      </c>
      <c r="T98" s="142" t="s">
        <v>2443</v>
      </c>
      <c r="U98" s="35" t="s">
        <v>3120</v>
      </c>
      <c r="V98" s="35" t="s">
        <v>1994</v>
      </c>
      <c r="W98" s="35">
        <v>2551</v>
      </c>
      <c r="X98" s="143">
        <v>105507.55</v>
      </c>
      <c r="Y98" s="143">
        <v>96599.76</v>
      </c>
      <c r="Z98" s="69" t="s">
        <v>3744</v>
      </c>
      <c r="AA98" s="104">
        <v>43578</v>
      </c>
      <c r="AB98" s="69" t="s">
        <v>3898</v>
      </c>
      <c r="AC98" s="69">
        <v>8</v>
      </c>
      <c r="AD98" s="69">
        <v>13</v>
      </c>
      <c r="AE98" s="158">
        <f>((5.082+4.845+6.563+6.946+7.074)/5)</f>
        <v>6.101999999999999</v>
      </c>
      <c r="AF98" s="69">
        <v>24</v>
      </c>
      <c r="AG98" s="95">
        <f>AE98*AC98*AF98*0.0036</f>
        <v>4.217702399999999</v>
      </c>
      <c r="AH98" s="95">
        <f>AE98*AD98*AF98*0.0036</f>
        <v>6.8537664</v>
      </c>
      <c r="AI98" s="69">
        <v>30</v>
      </c>
      <c r="AJ98" s="35">
        <v>12</v>
      </c>
      <c r="AK98" s="69">
        <v>0.61</v>
      </c>
      <c r="AL98" s="69">
        <v>0.74</v>
      </c>
      <c r="AM98" s="117">
        <f t="shared" si="2"/>
        <v>926.2074470399998</v>
      </c>
      <c r="AN98" s="118">
        <f t="shared" si="3"/>
        <v>1825.84336896</v>
      </c>
      <c r="AO98" s="82" t="s">
        <v>2457</v>
      </c>
    </row>
    <row r="99" spans="1:41" ht="12.75" customHeight="1">
      <c r="A99" s="35">
        <v>85</v>
      </c>
      <c r="B99" s="35" t="s">
        <v>73</v>
      </c>
      <c r="C99" s="35" t="s">
        <v>2</v>
      </c>
      <c r="D99" s="35">
        <v>4</v>
      </c>
      <c r="E99" s="35" t="s">
        <v>1259</v>
      </c>
      <c r="F99" s="138" t="s">
        <v>1258</v>
      </c>
      <c r="G99" s="142" t="s">
        <v>2451</v>
      </c>
      <c r="H99" s="35" t="s">
        <v>4166</v>
      </c>
      <c r="I99" s="35" t="s">
        <v>4127</v>
      </c>
      <c r="J99" s="139">
        <v>29104391</v>
      </c>
      <c r="K99" s="35" t="s">
        <v>2438</v>
      </c>
      <c r="L99" s="35">
        <v>3447000</v>
      </c>
      <c r="M99" s="35" t="s">
        <v>3735</v>
      </c>
      <c r="N99" s="35" t="s">
        <v>4181</v>
      </c>
      <c r="O99" s="35">
        <v>3428</v>
      </c>
      <c r="P99" s="140">
        <v>43073</v>
      </c>
      <c r="Q99" s="140">
        <v>46724</v>
      </c>
      <c r="R99" s="62" t="s">
        <v>2440</v>
      </c>
      <c r="S99" s="138" t="s">
        <v>2442</v>
      </c>
      <c r="T99" s="142" t="s">
        <v>2443</v>
      </c>
      <c r="U99" s="138" t="s">
        <v>3121</v>
      </c>
      <c r="V99" s="138" t="s">
        <v>1995</v>
      </c>
      <c r="W99" s="35">
        <v>2551</v>
      </c>
      <c r="X99" s="143">
        <v>105506.93</v>
      </c>
      <c r="Y99" s="143">
        <v>96570.47</v>
      </c>
      <c r="Z99" s="69" t="s">
        <v>3741</v>
      </c>
      <c r="AA99" s="104"/>
      <c r="AB99" s="82"/>
      <c r="AC99" s="82"/>
      <c r="AD99" s="82"/>
      <c r="AE99" s="202"/>
      <c r="AF99" s="82"/>
      <c r="AG99" s="95"/>
      <c r="AH99" s="95"/>
      <c r="AI99" s="69"/>
      <c r="AJ99" s="35"/>
      <c r="AK99" s="69"/>
      <c r="AL99" s="69"/>
      <c r="AM99" s="145">
        <f t="shared" si="2"/>
        <v>0</v>
      </c>
      <c r="AN99" s="146">
        <f t="shared" si="3"/>
        <v>0</v>
      </c>
      <c r="AO99" s="82" t="s">
        <v>2457</v>
      </c>
    </row>
    <row r="100" spans="1:41" ht="12.75">
      <c r="A100" s="35">
        <v>86</v>
      </c>
      <c r="B100" s="35" t="s">
        <v>73</v>
      </c>
      <c r="C100" s="35" t="s">
        <v>2</v>
      </c>
      <c r="D100" s="35">
        <v>4</v>
      </c>
      <c r="E100" s="35" t="s">
        <v>1219</v>
      </c>
      <c r="F100" s="35" t="s">
        <v>1231</v>
      </c>
      <c r="G100" s="142" t="s">
        <v>2451</v>
      </c>
      <c r="H100" s="35" t="s">
        <v>4166</v>
      </c>
      <c r="I100" s="35" t="s">
        <v>4127</v>
      </c>
      <c r="J100" s="139">
        <v>29104391</v>
      </c>
      <c r="K100" s="35" t="s">
        <v>2438</v>
      </c>
      <c r="L100" s="35">
        <v>3447000</v>
      </c>
      <c r="M100" s="35" t="s">
        <v>3735</v>
      </c>
      <c r="N100" s="35" t="s">
        <v>4181</v>
      </c>
      <c r="O100" s="35">
        <v>3428</v>
      </c>
      <c r="P100" s="140">
        <v>43073</v>
      </c>
      <c r="Q100" s="140">
        <v>46724</v>
      </c>
      <c r="R100" s="62" t="s">
        <v>2440</v>
      </c>
      <c r="S100" s="138" t="s">
        <v>2442</v>
      </c>
      <c r="T100" s="142" t="s">
        <v>2443</v>
      </c>
      <c r="U100" s="35" t="s">
        <v>3122</v>
      </c>
      <c r="V100" s="35" t="s">
        <v>3123</v>
      </c>
      <c r="W100" s="35">
        <v>2552</v>
      </c>
      <c r="X100" s="143">
        <v>105541.35</v>
      </c>
      <c r="Y100" s="143">
        <v>96528.53</v>
      </c>
      <c r="Z100" s="69" t="s">
        <v>3741</v>
      </c>
      <c r="AA100" s="104"/>
      <c r="AB100" s="69"/>
      <c r="AC100" s="69"/>
      <c r="AD100" s="69"/>
      <c r="AE100" s="158"/>
      <c r="AF100" s="69"/>
      <c r="AG100" s="95"/>
      <c r="AH100" s="95"/>
      <c r="AI100" s="69"/>
      <c r="AJ100" s="35"/>
      <c r="AK100" s="69"/>
      <c r="AL100" s="69"/>
      <c r="AM100" s="117">
        <f t="shared" si="2"/>
        <v>0</v>
      </c>
      <c r="AN100" s="118">
        <f t="shared" si="3"/>
        <v>0</v>
      </c>
      <c r="AO100" s="82" t="s">
        <v>2495</v>
      </c>
    </row>
    <row r="101" spans="1:41" ht="33.75" customHeight="1">
      <c r="A101" s="35">
        <v>87</v>
      </c>
      <c r="B101" s="35" t="s">
        <v>73</v>
      </c>
      <c r="C101" s="35" t="s">
        <v>2</v>
      </c>
      <c r="D101" s="35">
        <v>4</v>
      </c>
      <c r="E101" s="35" t="s">
        <v>1260</v>
      </c>
      <c r="F101" s="35" t="s">
        <v>1261</v>
      </c>
      <c r="G101" s="142" t="s">
        <v>2451</v>
      </c>
      <c r="H101" s="35" t="s">
        <v>4166</v>
      </c>
      <c r="I101" s="35" t="s">
        <v>4127</v>
      </c>
      <c r="J101" s="139">
        <v>29104391</v>
      </c>
      <c r="K101" s="35" t="s">
        <v>2438</v>
      </c>
      <c r="L101" s="35">
        <v>3447000</v>
      </c>
      <c r="M101" s="35" t="s">
        <v>3735</v>
      </c>
      <c r="N101" s="35" t="s">
        <v>4181</v>
      </c>
      <c r="O101" s="35">
        <v>3428</v>
      </c>
      <c r="P101" s="140">
        <v>43073</v>
      </c>
      <c r="Q101" s="140">
        <v>46724</v>
      </c>
      <c r="R101" s="62" t="s">
        <v>2440</v>
      </c>
      <c r="S101" s="138" t="s">
        <v>2442</v>
      </c>
      <c r="T101" s="142" t="s">
        <v>2443</v>
      </c>
      <c r="U101" s="35" t="s">
        <v>3124</v>
      </c>
      <c r="V101" s="35" t="s">
        <v>1996</v>
      </c>
      <c r="W101" s="35">
        <v>2552</v>
      </c>
      <c r="X101" s="143">
        <v>105543.19</v>
      </c>
      <c r="Y101" s="143">
        <v>96526.68</v>
      </c>
      <c r="Z101" s="69" t="s">
        <v>3950</v>
      </c>
      <c r="AA101" s="104">
        <v>43525</v>
      </c>
      <c r="AB101" s="147">
        <v>0.5027777777777778</v>
      </c>
      <c r="AC101" s="178"/>
      <c r="AD101" s="69"/>
      <c r="AE101" s="158"/>
      <c r="AF101" s="69"/>
      <c r="AG101" s="95"/>
      <c r="AH101" s="95"/>
      <c r="AI101" s="69"/>
      <c r="AJ101" s="35"/>
      <c r="AK101" s="69"/>
      <c r="AL101" s="69"/>
      <c r="AM101" s="117">
        <f t="shared" si="2"/>
        <v>0</v>
      </c>
      <c r="AN101" s="118">
        <f t="shared" si="3"/>
        <v>0</v>
      </c>
      <c r="AO101" s="82" t="s">
        <v>2495</v>
      </c>
    </row>
    <row r="102" spans="1:41" ht="12.75" customHeight="1">
      <c r="A102" s="35">
        <v>88</v>
      </c>
      <c r="B102" s="35" t="s">
        <v>73</v>
      </c>
      <c r="C102" s="35" t="s">
        <v>2</v>
      </c>
      <c r="D102" s="35">
        <v>4</v>
      </c>
      <c r="E102" s="35" t="s">
        <v>1220</v>
      </c>
      <c r="F102" s="35" t="s">
        <v>1232</v>
      </c>
      <c r="G102" s="35" t="s">
        <v>2493</v>
      </c>
      <c r="H102" s="35" t="s">
        <v>4166</v>
      </c>
      <c r="I102" s="35" t="s">
        <v>4127</v>
      </c>
      <c r="J102" s="139">
        <v>29104391</v>
      </c>
      <c r="K102" s="35" t="s">
        <v>2438</v>
      </c>
      <c r="L102" s="35">
        <v>3447000</v>
      </c>
      <c r="M102" s="35" t="s">
        <v>3735</v>
      </c>
      <c r="N102" s="35" t="s">
        <v>4181</v>
      </c>
      <c r="O102" s="35">
        <v>3428</v>
      </c>
      <c r="P102" s="140">
        <v>43073</v>
      </c>
      <c r="Q102" s="140">
        <v>46724</v>
      </c>
      <c r="R102" s="62" t="s">
        <v>2440</v>
      </c>
      <c r="S102" s="35" t="s">
        <v>2441</v>
      </c>
      <c r="T102" s="142" t="s">
        <v>2443</v>
      </c>
      <c r="U102" s="35" t="s">
        <v>3125</v>
      </c>
      <c r="V102" s="35" t="s">
        <v>1997</v>
      </c>
      <c r="W102" s="35">
        <v>2552</v>
      </c>
      <c r="X102" s="143">
        <v>105601.27</v>
      </c>
      <c r="Y102" s="143">
        <v>96522.98</v>
      </c>
      <c r="Z102" s="69" t="s">
        <v>3744</v>
      </c>
      <c r="AA102" s="104">
        <v>43578</v>
      </c>
      <c r="AB102" s="69" t="s">
        <v>3737</v>
      </c>
      <c r="AC102" s="69">
        <v>6</v>
      </c>
      <c r="AD102" s="69">
        <v>50</v>
      </c>
      <c r="AE102" s="158">
        <f>((4.533+4.728+5.398+5.864+6.096)/5)</f>
        <v>5.3238</v>
      </c>
      <c r="AF102" s="69">
        <v>24</v>
      </c>
      <c r="AG102" s="95">
        <f>AE102*AC102*AF102*0.0036</f>
        <v>2.75985792</v>
      </c>
      <c r="AH102" s="95">
        <f>AE102*AD102*AF102*0.0036</f>
        <v>22.998815999999998</v>
      </c>
      <c r="AI102" s="69">
        <v>30</v>
      </c>
      <c r="AJ102" s="35">
        <v>12</v>
      </c>
      <c r="AK102" s="69">
        <v>0.61</v>
      </c>
      <c r="AL102" s="69">
        <v>0.74</v>
      </c>
      <c r="AM102" s="117">
        <f t="shared" si="2"/>
        <v>606.0647992319999</v>
      </c>
      <c r="AN102" s="118">
        <f t="shared" si="3"/>
        <v>6126.884582399999</v>
      </c>
      <c r="AO102" s="82" t="s">
        <v>2457</v>
      </c>
    </row>
    <row r="103" spans="1:41" ht="12.75" customHeight="1">
      <c r="A103" s="35">
        <v>89</v>
      </c>
      <c r="B103" s="35" t="s">
        <v>73</v>
      </c>
      <c r="C103" s="35" t="s">
        <v>2</v>
      </c>
      <c r="D103" s="35">
        <v>4</v>
      </c>
      <c r="E103" s="35" t="s">
        <v>1262</v>
      </c>
      <c r="F103" s="138" t="s">
        <v>1261</v>
      </c>
      <c r="G103" s="35" t="s">
        <v>2493</v>
      </c>
      <c r="H103" s="35" t="s">
        <v>4166</v>
      </c>
      <c r="I103" s="35" t="s">
        <v>4127</v>
      </c>
      <c r="J103" s="139">
        <v>29104391</v>
      </c>
      <c r="K103" s="35" t="s">
        <v>2438</v>
      </c>
      <c r="L103" s="35">
        <v>3447000</v>
      </c>
      <c r="M103" s="35" t="s">
        <v>3735</v>
      </c>
      <c r="N103" s="35" t="s">
        <v>4181</v>
      </c>
      <c r="O103" s="35">
        <v>3428</v>
      </c>
      <c r="P103" s="140">
        <v>43073</v>
      </c>
      <c r="Q103" s="140">
        <v>46724</v>
      </c>
      <c r="R103" s="62" t="s">
        <v>2440</v>
      </c>
      <c r="S103" s="35" t="s">
        <v>2441</v>
      </c>
      <c r="T103" s="142" t="s">
        <v>2443</v>
      </c>
      <c r="U103" s="138" t="s">
        <v>3126</v>
      </c>
      <c r="V103" s="138" t="s">
        <v>1998</v>
      </c>
      <c r="W103" s="35">
        <v>2552</v>
      </c>
      <c r="X103" s="143">
        <v>105602.19</v>
      </c>
      <c r="Y103" s="143">
        <v>96522.05</v>
      </c>
      <c r="Z103" s="69" t="s">
        <v>3741</v>
      </c>
      <c r="AA103" s="82"/>
      <c r="AB103" s="82"/>
      <c r="AC103" s="82"/>
      <c r="AD103" s="82"/>
      <c r="AE103" s="202"/>
      <c r="AF103" s="82"/>
      <c r="AG103" s="95"/>
      <c r="AH103" s="95"/>
      <c r="AI103" s="69"/>
      <c r="AJ103" s="35"/>
      <c r="AK103" s="69"/>
      <c r="AL103" s="69"/>
      <c r="AM103" s="145">
        <f t="shared" si="2"/>
        <v>0</v>
      </c>
      <c r="AN103" s="146">
        <f t="shared" si="3"/>
        <v>0</v>
      </c>
      <c r="AO103" s="82" t="s">
        <v>2457</v>
      </c>
    </row>
    <row r="104" spans="1:41" ht="12.75" customHeight="1">
      <c r="A104" s="35">
        <v>90</v>
      </c>
      <c r="B104" s="35" t="s">
        <v>73</v>
      </c>
      <c r="C104" s="35" t="s">
        <v>2</v>
      </c>
      <c r="D104" s="69">
        <v>4</v>
      </c>
      <c r="E104" s="35" t="s">
        <v>1221</v>
      </c>
      <c r="F104" s="69" t="s">
        <v>1233</v>
      </c>
      <c r="G104" s="35" t="s">
        <v>2493</v>
      </c>
      <c r="H104" s="35" t="s">
        <v>4166</v>
      </c>
      <c r="I104" s="35" t="s">
        <v>4127</v>
      </c>
      <c r="J104" s="139">
        <v>29104391</v>
      </c>
      <c r="K104" s="35" t="s">
        <v>2438</v>
      </c>
      <c r="L104" s="35">
        <v>3447000</v>
      </c>
      <c r="M104" s="35" t="s">
        <v>3735</v>
      </c>
      <c r="N104" s="35" t="s">
        <v>4181</v>
      </c>
      <c r="O104" s="35">
        <v>3428</v>
      </c>
      <c r="P104" s="140">
        <v>43073</v>
      </c>
      <c r="Q104" s="140">
        <v>46724</v>
      </c>
      <c r="R104" s="62" t="s">
        <v>2440</v>
      </c>
      <c r="S104" s="35" t="s">
        <v>2441</v>
      </c>
      <c r="T104" s="142" t="s">
        <v>2443</v>
      </c>
      <c r="U104" s="69" t="s">
        <v>3127</v>
      </c>
      <c r="V104" s="69" t="s">
        <v>66</v>
      </c>
      <c r="W104" s="69">
        <v>2551</v>
      </c>
      <c r="X104" s="143">
        <v>105751.22</v>
      </c>
      <c r="Y104" s="143">
        <v>96354.62</v>
      </c>
      <c r="Z104" s="69" t="s">
        <v>3744</v>
      </c>
      <c r="AA104" s="104">
        <v>43579</v>
      </c>
      <c r="AB104" s="69" t="s">
        <v>3856</v>
      </c>
      <c r="AC104" s="69">
        <v>91</v>
      </c>
      <c r="AD104" s="69">
        <v>50</v>
      </c>
      <c r="AE104" s="158">
        <f>((7.626+7.488+7.488+5.738+5.848)/5)</f>
        <v>6.8376</v>
      </c>
      <c r="AF104" s="69">
        <v>24</v>
      </c>
      <c r="AG104" s="95">
        <f>AE104*AC104*AF104*0.0036</f>
        <v>53.75994624</v>
      </c>
      <c r="AH104" s="95">
        <f>AE104*AD104*AF104*0.0036</f>
        <v>29.538431999999997</v>
      </c>
      <c r="AI104" s="69">
        <v>30</v>
      </c>
      <c r="AJ104" s="35">
        <v>12</v>
      </c>
      <c r="AK104" s="69">
        <v>0.65</v>
      </c>
      <c r="AL104" s="69">
        <v>0.82</v>
      </c>
      <c r="AM104" s="117">
        <f t="shared" si="2"/>
        <v>12579.82742016</v>
      </c>
      <c r="AN104" s="118">
        <f t="shared" si="3"/>
        <v>8719.7451264</v>
      </c>
      <c r="AO104" s="82" t="s">
        <v>2457</v>
      </c>
    </row>
    <row r="105" spans="1:41" ht="12.75" customHeight="1">
      <c r="A105" s="35">
        <v>91</v>
      </c>
      <c r="B105" s="35" t="s">
        <v>73</v>
      </c>
      <c r="C105" s="35" t="s">
        <v>2</v>
      </c>
      <c r="D105" s="35">
        <v>4</v>
      </c>
      <c r="E105" s="35" t="s">
        <v>1263</v>
      </c>
      <c r="F105" s="138" t="s">
        <v>1264</v>
      </c>
      <c r="G105" s="35" t="s">
        <v>2493</v>
      </c>
      <c r="H105" s="35" t="s">
        <v>4166</v>
      </c>
      <c r="I105" s="35" t="s">
        <v>4127</v>
      </c>
      <c r="J105" s="139">
        <v>29104391</v>
      </c>
      <c r="K105" s="35" t="s">
        <v>2438</v>
      </c>
      <c r="L105" s="35">
        <v>3447000</v>
      </c>
      <c r="M105" s="35" t="s">
        <v>3735</v>
      </c>
      <c r="N105" s="35" t="s">
        <v>4181</v>
      </c>
      <c r="O105" s="35">
        <v>3428</v>
      </c>
      <c r="P105" s="140">
        <v>43073</v>
      </c>
      <c r="Q105" s="140">
        <v>46724</v>
      </c>
      <c r="R105" s="62" t="s">
        <v>2440</v>
      </c>
      <c r="S105" s="138" t="s">
        <v>2442</v>
      </c>
      <c r="T105" s="142" t="s">
        <v>2443</v>
      </c>
      <c r="U105" s="138" t="s">
        <v>3128</v>
      </c>
      <c r="V105" s="138" t="s">
        <v>2000</v>
      </c>
      <c r="W105" s="35">
        <v>2552</v>
      </c>
      <c r="X105" s="143">
        <v>105834.18</v>
      </c>
      <c r="Y105" s="143">
        <v>96184.11</v>
      </c>
      <c r="Z105" s="69" t="s">
        <v>3741</v>
      </c>
      <c r="AA105" s="82"/>
      <c r="AB105" s="82"/>
      <c r="AC105" s="82"/>
      <c r="AD105" s="82"/>
      <c r="AE105" s="202"/>
      <c r="AF105" s="82"/>
      <c r="AG105" s="95"/>
      <c r="AH105" s="95"/>
      <c r="AI105" s="69"/>
      <c r="AJ105" s="35"/>
      <c r="AK105" s="69"/>
      <c r="AL105" s="69"/>
      <c r="AM105" s="145">
        <f t="shared" si="2"/>
        <v>0</v>
      </c>
      <c r="AN105" s="146">
        <f t="shared" si="3"/>
        <v>0</v>
      </c>
      <c r="AO105" s="82" t="s">
        <v>2457</v>
      </c>
    </row>
    <row r="106" spans="1:41" ht="42.75" customHeight="1">
      <c r="A106" s="35">
        <v>92</v>
      </c>
      <c r="B106" s="35" t="s">
        <v>73</v>
      </c>
      <c r="C106" s="35" t="s">
        <v>2</v>
      </c>
      <c r="D106" s="69">
        <v>4</v>
      </c>
      <c r="E106" s="35" t="s">
        <v>1223</v>
      </c>
      <c r="F106" s="69" t="s">
        <v>1234</v>
      </c>
      <c r="G106" s="35" t="s">
        <v>2493</v>
      </c>
      <c r="H106" s="35" t="s">
        <v>4166</v>
      </c>
      <c r="I106" s="35" t="s">
        <v>4127</v>
      </c>
      <c r="J106" s="139">
        <v>29104391</v>
      </c>
      <c r="K106" s="35" t="s">
        <v>2438</v>
      </c>
      <c r="L106" s="35">
        <v>3447000</v>
      </c>
      <c r="M106" s="35" t="s">
        <v>3735</v>
      </c>
      <c r="N106" s="35" t="s">
        <v>4181</v>
      </c>
      <c r="O106" s="35">
        <v>3428</v>
      </c>
      <c r="P106" s="140">
        <v>43073</v>
      </c>
      <c r="Q106" s="140">
        <v>46724</v>
      </c>
      <c r="R106" s="62" t="s">
        <v>2440</v>
      </c>
      <c r="S106" s="35" t="s">
        <v>2441</v>
      </c>
      <c r="T106" s="142" t="s">
        <v>2443</v>
      </c>
      <c r="U106" s="69" t="s">
        <v>3129</v>
      </c>
      <c r="V106" s="69" t="s">
        <v>2001</v>
      </c>
      <c r="W106" s="35">
        <v>2552</v>
      </c>
      <c r="X106" s="143">
        <v>105862.76</v>
      </c>
      <c r="Y106" s="143">
        <v>96171.77</v>
      </c>
      <c r="Z106" s="2" t="s">
        <v>4046</v>
      </c>
      <c r="AA106" s="104"/>
      <c r="AB106" s="69"/>
      <c r="AC106" s="69"/>
      <c r="AD106" s="69"/>
      <c r="AE106" s="158"/>
      <c r="AF106" s="69"/>
      <c r="AG106" s="95"/>
      <c r="AH106" s="95"/>
      <c r="AI106" s="69"/>
      <c r="AJ106" s="35"/>
      <c r="AK106" s="69"/>
      <c r="AL106" s="69"/>
      <c r="AM106" s="117">
        <f>AVERAGE(AM107:AM108)</f>
        <v>34661.295180288</v>
      </c>
      <c r="AN106" s="117">
        <f>AVERAGE(AN107:AN108)</f>
        <v>44693.09324697601</v>
      </c>
      <c r="AO106" s="82" t="s">
        <v>2457</v>
      </c>
    </row>
    <row r="107" spans="1:41" ht="28.5" customHeight="1">
      <c r="A107" s="35"/>
      <c r="B107" s="35"/>
      <c r="C107" s="35"/>
      <c r="D107" s="69"/>
      <c r="E107" s="35"/>
      <c r="F107" s="69"/>
      <c r="G107" s="35"/>
      <c r="H107" s="35"/>
      <c r="I107" s="35"/>
      <c r="J107" s="139"/>
      <c r="K107" s="35"/>
      <c r="L107" s="35"/>
      <c r="M107" s="35"/>
      <c r="N107" s="35"/>
      <c r="O107" s="35"/>
      <c r="P107" s="140"/>
      <c r="Q107" s="140"/>
      <c r="R107" s="62"/>
      <c r="S107" s="35"/>
      <c r="T107" s="142"/>
      <c r="U107" s="69"/>
      <c r="V107" s="69"/>
      <c r="W107" s="35"/>
      <c r="X107" s="143"/>
      <c r="Y107" s="143"/>
      <c r="Z107" s="69" t="s">
        <v>3744</v>
      </c>
      <c r="AA107" s="104">
        <v>43598</v>
      </c>
      <c r="AB107" s="69" t="s">
        <v>3926</v>
      </c>
      <c r="AC107" s="69">
        <v>127</v>
      </c>
      <c r="AD107" s="69">
        <v>134</v>
      </c>
      <c r="AE107" s="158">
        <f>((25.533+21.15+19.104+20.273+18.812)/5)</f>
        <v>20.9744</v>
      </c>
      <c r="AF107" s="69">
        <v>24</v>
      </c>
      <c r="AG107" s="95">
        <f>AE107*AC107*AF107*0.0036</f>
        <v>230.14789632</v>
      </c>
      <c r="AH107" s="95">
        <f>AE107*AD107*AF107*0.0036</f>
        <v>242.83321344</v>
      </c>
      <c r="AI107" s="69">
        <v>30</v>
      </c>
      <c r="AJ107" s="35">
        <v>12</v>
      </c>
      <c r="AK107" s="69">
        <v>0.63</v>
      </c>
      <c r="AL107" s="69">
        <v>0.78</v>
      </c>
      <c r="AM107" s="127">
        <f>AG107*AI107*AJ107*AK107</f>
        <v>52197.542885375995</v>
      </c>
      <c r="AN107" s="128">
        <f>AH107*AI107*AJ107*AL107</f>
        <v>68187.56633395201</v>
      </c>
      <c r="AO107" s="82"/>
    </row>
    <row r="108" spans="1:41" ht="41.25" customHeight="1">
      <c r="A108" s="35"/>
      <c r="B108" s="35"/>
      <c r="C108" s="35"/>
      <c r="D108" s="69"/>
      <c r="E108" s="35"/>
      <c r="F108" s="69"/>
      <c r="G108" s="35"/>
      <c r="H108" s="35"/>
      <c r="I108" s="35"/>
      <c r="J108" s="139"/>
      <c r="K108" s="35"/>
      <c r="L108" s="35"/>
      <c r="M108" s="35"/>
      <c r="N108" s="35"/>
      <c r="O108" s="35"/>
      <c r="P108" s="140"/>
      <c r="Q108" s="140"/>
      <c r="R108" s="62"/>
      <c r="S108" s="35"/>
      <c r="T108" s="142"/>
      <c r="U108" s="69"/>
      <c r="V108" s="69"/>
      <c r="W108" s="35"/>
      <c r="X108" s="143"/>
      <c r="Y108" s="143"/>
      <c r="Z108" s="69" t="s">
        <v>4085</v>
      </c>
      <c r="AA108" s="104">
        <v>43664</v>
      </c>
      <c r="AB108" s="69" t="s">
        <v>3737</v>
      </c>
      <c r="AC108" s="69">
        <v>98</v>
      </c>
      <c r="AD108" s="69">
        <v>100</v>
      </c>
      <c r="AE108" s="158">
        <v>9.21</v>
      </c>
      <c r="AF108" s="69">
        <v>24</v>
      </c>
      <c r="AG108" s="95">
        <f>AE108*AC108*AF108*0.0036</f>
        <v>77.982912</v>
      </c>
      <c r="AH108" s="95">
        <f>AE108*AD108*AF108*0.0036</f>
        <v>79.57440000000001</v>
      </c>
      <c r="AI108" s="69">
        <v>30</v>
      </c>
      <c r="AJ108" s="35">
        <v>12</v>
      </c>
      <c r="AK108" s="69">
        <v>0.61</v>
      </c>
      <c r="AL108" s="69">
        <v>0.74</v>
      </c>
      <c r="AM108" s="127">
        <f>AG108*AI108*AJ108*AK108</f>
        <v>17125.0474752</v>
      </c>
      <c r="AN108" s="128">
        <f>AH108*AI108*AJ108*AL108</f>
        <v>21198.620160000006</v>
      </c>
      <c r="AO108" s="82"/>
    </row>
    <row r="109" spans="1:41" ht="72.75" customHeight="1">
      <c r="A109" s="35">
        <v>93</v>
      </c>
      <c r="B109" s="35" t="s">
        <v>73</v>
      </c>
      <c r="C109" s="35" t="s">
        <v>2</v>
      </c>
      <c r="D109" s="69">
        <v>4</v>
      </c>
      <c r="E109" s="35" t="s">
        <v>1224</v>
      </c>
      <c r="F109" s="69" t="s">
        <v>1235</v>
      </c>
      <c r="G109" s="35" t="s">
        <v>2493</v>
      </c>
      <c r="H109" s="35" t="s">
        <v>4166</v>
      </c>
      <c r="I109" s="35" t="s">
        <v>4127</v>
      </c>
      <c r="J109" s="139">
        <v>29104391</v>
      </c>
      <c r="K109" s="35" t="s">
        <v>2438</v>
      </c>
      <c r="L109" s="35">
        <v>3447000</v>
      </c>
      <c r="M109" s="35" t="s">
        <v>3735</v>
      </c>
      <c r="N109" s="35" t="s">
        <v>4181</v>
      </c>
      <c r="O109" s="35">
        <v>3428</v>
      </c>
      <c r="P109" s="140">
        <v>43073</v>
      </c>
      <c r="Q109" s="140">
        <v>46724</v>
      </c>
      <c r="R109" s="62" t="s">
        <v>2440</v>
      </c>
      <c r="S109" s="138" t="s">
        <v>2442</v>
      </c>
      <c r="T109" s="69" t="s">
        <v>2445</v>
      </c>
      <c r="U109" s="69" t="s">
        <v>3130</v>
      </c>
      <c r="V109" s="69" t="s">
        <v>3131</v>
      </c>
      <c r="W109" s="69">
        <v>2550</v>
      </c>
      <c r="X109" s="143">
        <v>106006.87</v>
      </c>
      <c r="Y109" s="143">
        <v>95886.25</v>
      </c>
      <c r="Z109" s="69" t="s">
        <v>4086</v>
      </c>
      <c r="AA109" s="104">
        <v>43664</v>
      </c>
      <c r="AB109" s="69" t="s">
        <v>3968</v>
      </c>
      <c r="AC109" s="69">
        <v>69</v>
      </c>
      <c r="AD109" s="69">
        <v>28</v>
      </c>
      <c r="AE109" s="158">
        <v>2.28</v>
      </c>
      <c r="AF109" s="69">
        <v>24</v>
      </c>
      <c r="AG109" s="95">
        <f>AE109*AC109*AF109*0.0036</f>
        <v>13.592448</v>
      </c>
      <c r="AH109" s="95">
        <f>AE109*AD109*AF109*0.0036</f>
        <v>5.515775999999999</v>
      </c>
      <c r="AI109" s="69">
        <v>30</v>
      </c>
      <c r="AJ109" s="35">
        <v>12</v>
      </c>
      <c r="AK109" s="69">
        <v>0.63</v>
      </c>
      <c r="AL109" s="69">
        <v>0.54</v>
      </c>
      <c r="AM109" s="117">
        <f t="shared" si="2"/>
        <v>3082.7672064000003</v>
      </c>
      <c r="AN109" s="118">
        <f t="shared" si="3"/>
        <v>1072.2668543999998</v>
      </c>
      <c r="AO109" s="82" t="s">
        <v>2495</v>
      </c>
    </row>
    <row r="110" spans="1:41" ht="12.75">
      <c r="A110" s="35">
        <v>94</v>
      </c>
      <c r="B110" s="35" t="s">
        <v>73</v>
      </c>
      <c r="C110" s="35" t="s">
        <v>2</v>
      </c>
      <c r="D110" s="69">
        <v>4</v>
      </c>
      <c r="E110" s="35" t="s">
        <v>1225</v>
      </c>
      <c r="F110" s="69" t="s">
        <v>1236</v>
      </c>
      <c r="G110" s="35" t="s">
        <v>2493</v>
      </c>
      <c r="H110" s="35" t="s">
        <v>4166</v>
      </c>
      <c r="I110" s="35" t="s">
        <v>4127</v>
      </c>
      <c r="J110" s="139">
        <v>29104391</v>
      </c>
      <c r="K110" s="35" t="s">
        <v>2438</v>
      </c>
      <c r="L110" s="35">
        <v>3447000</v>
      </c>
      <c r="M110" s="35" t="s">
        <v>3735</v>
      </c>
      <c r="N110" s="35" t="s">
        <v>4181</v>
      </c>
      <c r="O110" s="35">
        <v>3428</v>
      </c>
      <c r="P110" s="140">
        <v>43073</v>
      </c>
      <c r="Q110" s="140">
        <v>46724</v>
      </c>
      <c r="R110" s="62" t="s">
        <v>2440</v>
      </c>
      <c r="S110" s="35" t="s">
        <v>2441</v>
      </c>
      <c r="T110" s="142" t="s">
        <v>2443</v>
      </c>
      <c r="U110" s="69" t="s">
        <v>3132</v>
      </c>
      <c r="V110" s="69" t="s">
        <v>67</v>
      </c>
      <c r="W110" s="69">
        <v>2551</v>
      </c>
      <c r="X110" s="143">
        <v>106344.89</v>
      </c>
      <c r="Y110" s="143">
        <v>95879.14</v>
      </c>
      <c r="Z110" s="69" t="s">
        <v>3744</v>
      </c>
      <c r="AA110" s="104">
        <v>43579</v>
      </c>
      <c r="AB110" s="69" t="s">
        <v>2533</v>
      </c>
      <c r="AC110" s="69">
        <v>12</v>
      </c>
      <c r="AD110" s="69">
        <v>33</v>
      </c>
      <c r="AE110" s="158">
        <f>((2.963+2.949+2.853+3.549+4.026)/5)</f>
        <v>3.268</v>
      </c>
      <c r="AF110" s="69">
        <v>24</v>
      </c>
      <c r="AG110" s="95">
        <f>AE110*AC110*AF110*0.0036</f>
        <v>3.3882623999999995</v>
      </c>
      <c r="AH110" s="95">
        <f>AE110*AD110*AF110*0.0036</f>
        <v>9.317721599999999</v>
      </c>
      <c r="AI110" s="69">
        <v>30</v>
      </c>
      <c r="AJ110" s="35">
        <v>12</v>
      </c>
      <c r="AK110" s="69">
        <v>0.56</v>
      </c>
      <c r="AL110" s="69">
        <v>0.47</v>
      </c>
      <c r="AM110" s="117">
        <f>AG110*AI110*AJ110*AK110</f>
        <v>683.0736998399999</v>
      </c>
      <c r="AN110" s="118">
        <f>AH110*AI110*AJ110*AL110</f>
        <v>1576.5584947199998</v>
      </c>
      <c r="AO110" s="82" t="s">
        <v>2456</v>
      </c>
    </row>
    <row r="111" spans="1:41" ht="12.75" customHeight="1">
      <c r="A111" s="35">
        <v>95</v>
      </c>
      <c r="B111" s="35" t="s">
        <v>73</v>
      </c>
      <c r="C111" s="35" t="s">
        <v>2</v>
      </c>
      <c r="D111" s="35">
        <v>4</v>
      </c>
      <c r="E111" s="35" t="s">
        <v>1265</v>
      </c>
      <c r="F111" s="138" t="s">
        <v>1268</v>
      </c>
      <c r="G111" s="35" t="s">
        <v>2493</v>
      </c>
      <c r="H111" s="35" t="s">
        <v>4166</v>
      </c>
      <c r="I111" s="35" t="s">
        <v>4127</v>
      </c>
      <c r="J111" s="139">
        <v>29104391</v>
      </c>
      <c r="K111" s="35" t="s">
        <v>2438</v>
      </c>
      <c r="L111" s="35">
        <v>3447000</v>
      </c>
      <c r="M111" s="35" t="s">
        <v>3735</v>
      </c>
      <c r="N111" s="35" t="s">
        <v>4181</v>
      </c>
      <c r="O111" s="35">
        <v>3428</v>
      </c>
      <c r="P111" s="140">
        <v>43073</v>
      </c>
      <c r="Q111" s="140">
        <v>46724</v>
      </c>
      <c r="R111" s="62" t="s">
        <v>2440</v>
      </c>
      <c r="S111" s="35" t="s">
        <v>2441</v>
      </c>
      <c r="T111" s="142" t="s">
        <v>2443</v>
      </c>
      <c r="U111" s="138" t="s">
        <v>3133</v>
      </c>
      <c r="V111" s="138" t="s">
        <v>2002</v>
      </c>
      <c r="W111" s="138">
        <v>2551</v>
      </c>
      <c r="X111" s="143">
        <v>105997.65</v>
      </c>
      <c r="Y111" s="143">
        <v>95872.07</v>
      </c>
      <c r="Z111" s="69" t="s">
        <v>3741</v>
      </c>
      <c r="AA111" s="82"/>
      <c r="AB111" s="82"/>
      <c r="AC111" s="82"/>
      <c r="AD111" s="82"/>
      <c r="AE111" s="202"/>
      <c r="AF111" s="82"/>
      <c r="AG111" s="95"/>
      <c r="AH111" s="95"/>
      <c r="AI111" s="69"/>
      <c r="AJ111" s="35"/>
      <c r="AK111" s="69"/>
      <c r="AL111" s="69"/>
      <c r="AM111" s="145">
        <f t="shared" si="2"/>
        <v>0</v>
      </c>
      <c r="AN111" s="146">
        <f t="shared" si="3"/>
        <v>0</v>
      </c>
      <c r="AO111" s="82" t="s">
        <v>2457</v>
      </c>
    </row>
    <row r="112" spans="1:41" ht="12.75" customHeight="1">
      <c r="A112" s="35">
        <v>96</v>
      </c>
      <c r="B112" s="35" t="s">
        <v>73</v>
      </c>
      <c r="C112" s="35" t="s">
        <v>2</v>
      </c>
      <c r="D112" s="35">
        <v>4</v>
      </c>
      <c r="E112" s="35" t="s">
        <v>1266</v>
      </c>
      <c r="F112" s="138" t="s">
        <v>1269</v>
      </c>
      <c r="G112" s="35" t="s">
        <v>2493</v>
      </c>
      <c r="H112" s="35" t="s">
        <v>4166</v>
      </c>
      <c r="I112" s="35" t="s">
        <v>4127</v>
      </c>
      <c r="J112" s="139">
        <v>29104391</v>
      </c>
      <c r="K112" s="35" t="s">
        <v>2438</v>
      </c>
      <c r="L112" s="35">
        <v>3447000</v>
      </c>
      <c r="M112" s="35" t="s">
        <v>3735</v>
      </c>
      <c r="N112" s="35" t="s">
        <v>4181</v>
      </c>
      <c r="O112" s="35">
        <v>3428</v>
      </c>
      <c r="P112" s="140">
        <v>43073</v>
      </c>
      <c r="Q112" s="140">
        <v>46724</v>
      </c>
      <c r="R112" s="62" t="s">
        <v>2440</v>
      </c>
      <c r="S112" s="138" t="s">
        <v>2442</v>
      </c>
      <c r="T112" s="142" t="s">
        <v>2443</v>
      </c>
      <c r="U112" s="138" t="s">
        <v>3134</v>
      </c>
      <c r="V112" s="138" t="s">
        <v>1999</v>
      </c>
      <c r="W112" s="138">
        <v>2549</v>
      </c>
      <c r="X112" s="143">
        <v>106068.32</v>
      </c>
      <c r="Y112" s="143">
        <v>95778.33</v>
      </c>
      <c r="Z112" s="69" t="s">
        <v>3741</v>
      </c>
      <c r="AA112" s="82"/>
      <c r="AB112" s="82"/>
      <c r="AC112" s="82"/>
      <c r="AD112" s="82"/>
      <c r="AE112" s="202"/>
      <c r="AF112" s="82"/>
      <c r="AG112" s="95"/>
      <c r="AH112" s="95"/>
      <c r="AI112" s="69"/>
      <c r="AJ112" s="35"/>
      <c r="AK112" s="69"/>
      <c r="AL112" s="69"/>
      <c r="AM112" s="145">
        <f t="shared" si="2"/>
        <v>0</v>
      </c>
      <c r="AN112" s="146">
        <f t="shared" si="3"/>
        <v>0</v>
      </c>
      <c r="AO112" s="82" t="s">
        <v>2457</v>
      </c>
    </row>
    <row r="113" spans="1:41" ht="12.75" customHeight="1">
      <c r="A113" s="35">
        <v>97</v>
      </c>
      <c r="B113" s="35" t="s">
        <v>73</v>
      </c>
      <c r="C113" s="35" t="s">
        <v>2</v>
      </c>
      <c r="D113" s="35">
        <v>4</v>
      </c>
      <c r="E113" s="35" t="s">
        <v>1267</v>
      </c>
      <c r="F113" s="138" t="s">
        <v>1269</v>
      </c>
      <c r="G113" s="35" t="s">
        <v>2493</v>
      </c>
      <c r="H113" s="35" t="s">
        <v>4166</v>
      </c>
      <c r="I113" s="35" t="s">
        <v>4127</v>
      </c>
      <c r="J113" s="139">
        <v>29104391</v>
      </c>
      <c r="K113" s="35" t="s">
        <v>2438</v>
      </c>
      <c r="L113" s="35">
        <v>3447000</v>
      </c>
      <c r="M113" s="35" t="s">
        <v>3735</v>
      </c>
      <c r="N113" s="35" t="s">
        <v>4181</v>
      </c>
      <c r="O113" s="35">
        <v>3428</v>
      </c>
      <c r="P113" s="140">
        <v>43073</v>
      </c>
      <c r="Q113" s="140">
        <v>46724</v>
      </c>
      <c r="R113" s="62" t="s">
        <v>2440</v>
      </c>
      <c r="S113" s="35" t="s">
        <v>2441</v>
      </c>
      <c r="T113" s="142" t="s">
        <v>2443</v>
      </c>
      <c r="U113" s="138" t="s">
        <v>3135</v>
      </c>
      <c r="V113" s="138" t="s">
        <v>2003</v>
      </c>
      <c r="W113" s="138">
        <v>2549</v>
      </c>
      <c r="X113" s="143">
        <v>106100.28</v>
      </c>
      <c r="Y113" s="143">
        <v>95766.31</v>
      </c>
      <c r="Z113" s="69" t="s">
        <v>3741</v>
      </c>
      <c r="AA113" s="82"/>
      <c r="AB113" s="82"/>
      <c r="AC113" s="82"/>
      <c r="AD113" s="82"/>
      <c r="AE113" s="202"/>
      <c r="AF113" s="82"/>
      <c r="AG113" s="95"/>
      <c r="AH113" s="95"/>
      <c r="AI113" s="69"/>
      <c r="AJ113" s="35"/>
      <c r="AK113" s="69"/>
      <c r="AL113" s="69"/>
      <c r="AM113" s="145">
        <f t="shared" si="2"/>
        <v>0</v>
      </c>
      <c r="AN113" s="146">
        <f t="shared" si="3"/>
        <v>0</v>
      </c>
      <c r="AO113" s="82" t="s">
        <v>2457</v>
      </c>
    </row>
    <row r="114" spans="1:41" ht="49.5" customHeight="1">
      <c r="A114" s="35">
        <v>98</v>
      </c>
      <c r="B114" s="35" t="s">
        <v>73</v>
      </c>
      <c r="C114" s="35" t="s">
        <v>2</v>
      </c>
      <c r="D114" s="69">
        <v>4</v>
      </c>
      <c r="E114" s="35" t="s">
        <v>2233</v>
      </c>
      <c r="F114" s="69" t="s">
        <v>1237</v>
      </c>
      <c r="G114" s="35" t="s">
        <v>2493</v>
      </c>
      <c r="H114" s="35" t="s">
        <v>4166</v>
      </c>
      <c r="I114" s="35" t="s">
        <v>4127</v>
      </c>
      <c r="J114" s="139">
        <v>29104391</v>
      </c>
      <c r="K114" s="35" t="s">
        <v>2438</v>
      </c>
      <c r="L114" s="35">
        <v>3447000</v>
      </c>
      <c r="M114" s="35" t="s">
        <v>3735</v>
      </c>
      <c r="N114" s="35" t="s">
        <v>4181</v>
      </c>
      <c r="O114" s="35">
        <v>3428</v>
      </c>
      <c r="P114" s="140">
        <v>43073</v>
      </c>
      <c r="Q114" s="140">
        <v>46724</v>
      </c>
      <c r="R114" s="62" t="s">
        <v>2440</v>
      </c>
      <c r="S114" s="138" t="s">
        <v>2442</v>
      </c>
      <c r="T114" s="142" t="s">
        <v>2443</v>
      </c>
      <c r="U114" s="69" t="s">
        <v>3136</v>
      </c>
      <c r="V114" s="69" t="s">
        <v>3137</v>
      </c>
      <c r="W114" s="69">
        <v>2548</v>
      </c>
      <c r="X114" s="143">
        <v>106214.59</v>
      </c>
      <c r="Y114" s="143">
        <v>95639.58</v>
      </c>
      <c r="Z114" s="69" t="s">
        <v>3744</v>
      </c>
      <c r="AA114" s="104">
        <v>43584</v>
      </c>
      <c r="AB114" s="69" t="s">
        <v>3892</v>
      </c>
      <c r="AC114" s="69">
        <v>297</v>
      </c>
      <c r="AD114" s="69">
        <v>152</v>
      </c>
      <c r="AE114" s="158">
        <f>((0.132+0.222+0.224+0.263+0.272)/5)</f>
        <v>0.2226</v>
      </c>
      <c r="AF114" s="69">
        <v>24</v>
      </c>
      <c r="AG114" s="95">
        <f>AE114*AC114*AF114*0.0036</f>
        <v>5.71209408</v>
      </c>
      <c r="AH114" s="95">
        <f>AE114*AD114*AF114*0.0036</f>
        <v>2.92336128</v>
      </c>
      <c r="AI114" s="69">
        <v>30</v>
      </c>
      <c r="AJ114" s="35">
        <v>12</v>
      </c>
      <c r="AK114" s="69">
        <v>0.75</v>
      </c>
      <c r="AL114" s="69">
        <v>0.59</v>
      </c>
      <c r="AM114" s="117">
        <f t="shared" si="2"/>
        <v>1542.2654016</v>
      </c>
      <c r="AN114" s="118">
        <f t="shared" si="3"/>
        <v>620.921935872</v>
      </c>
      <c r="AO114" s="82" t="s">
        <v>2495</v>
      </c>
    </row>
    <row r="115" spans="1:41" ht="12.75" customHeight="1">
      <c r="A115" s="35">
        <v>99</v>
      </c>
      <c r="B115" s="35" t="s">
        <v>73</v>
      </c>
      <c r="C115" s="35" t="s">
        <v>2</v>
      </c>
      <c r="D115" s="35">
        <v>4</v>
      </c>
      <c r="E115" s="35" t="s">
        <v>1270</v>
      </c>
      <c r="F115" s="138" t="s">
        <v>1271</v>
      </c>
      <c r="G115" s="35" t="s">
        <v>2493</v>
      </c>
      <c r="H115" s="35" t="s">
        <v>4166</v>
      </c>
      <c r="I115" s="35" t="s">
        <v>4127</v>
      </c>
      <c r="J115" s="139">
        <v>29104391</v>
      </c>
      <c r="K115" s="35" t="s">
        <v>2438</v>
      </c>
      <c r="L115" s="35">
        <v>3447000</v>
      </c>
      <c r="M115" s="35" t="s">
        <v>3735</v>
      </c>
      <c r="N115" s="35" t="s">
        <v>4181</v>
      </c>
      <c r="O115" s="35">
        <v>3428</v>
      </c>
      <c r="P115" s="140">
        <v>43073</v>
      </c>
      <c r="Q115" s="140">
        <v>46724</v>
      </c>
      <c r="R115" s="62" t="s">
        <v>2440</v>
      </c>
      <c r="S115" s="35" t="s">
        <v>2441</v>
      </c>
      <c r="T115" s="142" t="s">
        <v>2443</v>
      </c>
      <c r="U115" s="138" t="s">
        <v>3138</v>
      </c>
      <c r="V115" s="138" t="s">
        <v>2004</v>
      </c>
      <c r="W115" s="138">
        <v>2549</v>
      </c>
      <c r="X115" s="143">
        <v>106374.68</v>
      </c>
      <c r="Y115" s="143">
        <v>95521.79</v>
      </c>
      <c r="Z115" s="69" t="s">
        <v>3741</v>
      </c>
      <c r="AA115" s="82"/>
      <c r="AB115" s="82"/>
      <c r="AC115" s="82"/>
      <c r="AD115" s="82"/>
      <c r="AE115" s="202"/>
      <c r="AF115" s="82"/>
      <c r="AG115" s="95"/>
      <c r="AH115" s="95"/>
      <c r="AI115" s="69"/>
      <c r="AJ115" s="35"/>
      <c r="AK115" s="69"/>
      <c r="AL115" s="69"/>
      <c r="AM115" s="145">
        <f t="shared" si="2"/>
        <v>0</v>
      </c>
      <c r="AN115" s="146">
        <f t="shared" si="3"/>
        <v>0</v>
      </c>
      <c r="AO115" s="82" t="s">
        <v>2457</v>
      </c>
    </row>
    <row r="116" spans="1:41" ht="64.5" customHeight="1">
      <c r="A116" s="35">
        <v>100</v>
      </c>
      <c r="B116" s="35" t="s">
        <v>73</v>
      </c>
      <c r="C116" s="35" t="s">
        <v>2</v>
      </c>
      <c r="D116" s="69">
        <v>4</v>
      </c>
      <c r="E116" s="35" t="s">
        <v>2232</v>
      </c>
      <c r="F116" s="69" t="s">
        <v>1238</v>
      </c>
      <c r="G116" s="35" t="s">
        <v>2493</v>
      </c>
      <c r="H116" s="35" t="s">
        <v>4166</v>
      </c>
      <c r="I116" s="35" t="s">
        <v>4127</v>
      </c>
      <c r="J116" s="139">
        <v>29104391</v>
      </c>
      <c r="K116" s="35" t="s">
        <v>2438</v>
      </c>
      <c r="L116" s="35">
        <v>3447000</v>
      </c>
      <c r="M116" s="35" t="s">
        <v>3735</v>
      </c>
      <c r="N116" s="35" t="s">
        <v>4181</v>
      </c>
      <c r="O116" s="35">
        <v>3428</v>
      </c>
      <c r="P116" s="140">
        <v>43073</v>
      </c>
      <c r="Q116" s="140">
        <v>46724</v>
      </c>
      <c r="R116" s="62" t="s">
        <v>2440</v>
      </c>
      <c r="S116" s="138" t="s">
        <v>2442</v>
      </c>
      <c r="T116" s="142" t="s">
        <v>2443</v>
      </c>
      <c r="U116" s="69" t="s">
        <v>3139</v>
      </c>
      <c r="V116" s="69" t="s">
        <v>2005</v>
      </c>
      <c r="W116" s="69">
        <v>2550</v>
      </c>
      <c r="X116" s="143">
        <v>106479.46</v>
      </c>
      <c r="Y116" s="143">
        <v>95374.4</v>
      </c>
      <c r="Z116" s="69" t="s">
        <v>4145</v>
      </c>
      <c r="AA116" s="104"/>
      <c r="AB116" s="69"/>
      <c r="AC116" s="69"/>
      <c r="AD116" s="69"/>
      <c r="AE116" s="158"/>
      <c r="AF116" s="69"/>
      <c r="AG116" s="95"/>
      <c r="AH116" s="95"/>
      <c r="AI116" s="69"/>
      <c r="AJ116" s="35"/>
      <c r="AK116" s="69"/>
      <c r="AL116" s="69"/>
      <c r="AM116" s="117">
        <v>5032.4977728546755</v>
      </c>
      <c r="AN116" s="118">
        <v>2403.1863167911165</v>
      </c>
      <c r="AO116" s="82" t="s">
        <v>2495</v>
      </c>
    </row>
    <row r="117" spans="1:41" ht="36.75" customHeight="1">
      <c r="A117" s="35">
        <v>101</v>
      </c>
      <c r="B117" s="35" t="s">
        <v>73</v>
      </c>
      <c r="C117" s="35" t="s">
        <v>2</v>
      </c>
      <c r="D117" s="69">
        <v>4</v>
      </c>
      <c r="E117" s="35" t="s">
        <v>1240</v>
      </c>
      <c r="F117" s="69" t="s">
        <v>1238</v>
      </c>
      <c r="G117" s="35" t="s">
        <v>2493</v>
      </c>
      <c r="H117" s="35" t="s">
        <v>4166</v>
      </c>
      <c r="I117" s="35" t="s">
        <v>4127</v>
      </c>
      <c r="J117" s="139">
        <v>29104391</v>
      </c>
      <c r="K117" s="35" t="s">
        <v>2438</v>
      </c>
      <c r="L117" s="35">
        <v>3447000</v>
      </c>
      <c r="M117" s="35" t="s">
        <v>3735</v>
      </c>
      <c r="N117" s="35" t="s">
        <v>4181</v>
      </c>
      <c r="O117" s="35">
        <v>3428</v>
      </c>
      <c r="P117" s="140">
        <v>43073</v>
      </c>
      <c r="Q117" s="140">
        <v>46724</v>
      </c>
      <c r="R117" s="62" t="s">
        <v>2440</v>
      </c>
      <c r="S117" s="35" t="s">
        <v>2441</v>
      </c>
      <c r="T117" s="142" t="s">
        <v>2443</v>
      </c>
      <c r="U117" s="69" t="s">
        <v>3140</v>
      </c>
      <c r="V117" s="69" t="s">
        <v>3141</v>
      </c>
      <c r="W117" s="69">
        <v>2550</v>
      </c>
      <c r="X117" s="143">
        <v>106515.42</v>
      </c>
      <c r="Y117" s="143">
        <v>95371.32</v>
      </c>
      <c r="Z117" s="2" t="s">
        <v>4046</v>
      </c>
      <c r="AA117" s="104"/>
      <c r="AB117" s="69"/>
      <c r="AC117" s="69"/>
      <c r="AD117" s="69"/>
      <c r="AE117" s="158"/>
      <c r="AF117" s="69"/>
      <c r="AG117" s="95"/>
      <c r="AH117" s="95"/>
      <c r="AI117" s="69"/>
      <c r="AJ117" s="35"/>
      <c r="AK117" s="69"/>
      <c r="AL117" s="69"/>
      <c r="AM117" s="117">
        <f>AVERAGE(AM118:AM119)</f>
        <v>3117.2809823999996</v>
      </c>
      <c r="AN117" s="117">
        <f>AVERAGE(AN118:AN119)</f>
        <v>3379.2711252480003</v>
      </c>
      <c r="AO117" s="182" t="s">
        <v>2457</v>
      </c>
    </row>
    <row r="118" spans="1:41" ht="42" customHeight="1">
      <c r="A118" s="184"/>
      <c r="B118" s="184"/>
      <c r="C118" s="184"/>
      <c r="D118" s="178"/>
      <c r="E118" s="184"/>
      <c r="F118" s="178"/>
      <c r="G118" s="184"/>
      <c r="H118" s="184"/>
      <c r="I118" s="184"/>
      <c r="J118" s="187"/>
      <c r="K118" s="184"/>
      <c r="L118" s="184"/>
      <c r="M118" s="184"/>
      <c r="N118" s="184"/>
      <c r="O118" s="184"/>
      <c r="P118" s="188"/>
      <c r="Q118" s="188"/>
      <c r="R118" s="185"/>
      <c r="S118" s="184"/>
      <c r="T118" s="186"/>
      <c r="U118" s="178"/>
      <c r="V118" s="178"/>
      <c r="W118" s="178"/>
      <c r="X118" s="189"/>
      <c r="Y118" s="189"/>
      <c r="Z118" s="69" t="s">
        <v>3744</v>
      </c>
      <c r="AA118" s="104">
        <v>43585</v>
      </c>
      <c r="AB118" s="179" t="s">
        <v>3926</v>
      </c>
      <c r="AC118" s="69">
        <v>25</v>
      </c>
      <c r="AD118" s="69">
        <v>23</v>
      </c>
      <c r="AE118" s="158">
        <f>(7.954+7.948+7.98+7.845+7.796)/5</f>
        <v>7.9046</v>
      </c>
      <c r="AF118" s="69">
        <v>24</v>
      </c>
      <c r="AG118" s="95">
        <f>AE118*AC118*AF118*0.0036</f>
        <v>17.073936</v>
      </c>
      <c r="AH118" s="95">
        <f>AE118*AD118*AF118*0.0036</f>
        <v>15.708021120000002</v>
      </c>
      <c r="AI118" s="69">
        <v>30</v>
      </c>
      <c r="AJ118" s="35">
        <v>12</v>
      </c>
      <c r="AK118" s="69">
        <v>0.63</v>
      </c>
      <c r="AL118" s="69">
        <v>0.78</v>
      </c>
      <c r="AM118" s="127">
        <f t="shared" si="2"/>
        <v>3872.3686847999998</v>
      </c>
      <c r="AN118" s="128">
        <f t="shared" si="3"/>
        <v>4410.812330496001</v>
      </c>
      <c r="AO118" s="93"/>
    </row>
    <row r="119" spans="1:41" ht="33" customHeight="1">
      <c r="A119" s="184"/>
      <c r="B119" s="184"/>
      <c r="C119" s="184"/>
      <c r="D119" s="178"/>
      <c r="E119" s="184"/>
      <c r="F119" s="178"/>
      <c r="G119" s="184"/>
      <c r="H119" s="184"/>
      <c r="I119" s="184"/>
      <c r="J119" s="187"/>
      <c r="K119" s="184"/>
      <c r="L119" s="184"/>
      <c r="M119" s="184"/>
      <c r="N119" s="184"/>
      <c r="O119" s="184"/>
      <c r="P119" s="188"/>
      <c r="Q119" s="188"/>
      <c r="R119" s="185"/>
      <c r="S119" s="184"/>
      <c r="T119" s="186"/>
      <c r="U119" s="178"/>
      <c r="V119" s="178"/>
      <c r="W119" s="178"/>
      <c r="X119" s="189"/>
      <c r="Y119" s="189"/>
      <c r="Z119" s="69" t="s">
        <v>4087</v>
      </c>
      <c r="AA119" s="104">
        <v>43664</v>
      </c>
      <c r="AB119" s="179" t="s">
        <v>3944</v>
      </c>
      <c r="AC119" s="69">
        <v>83</v>
      </c>
      <c r="AD119" s="69">
        <v>68</v>
      </c>
      <c r="AE119" s="158">
        <v>1.5</v>
      </c>
      <c r="AF119" s="69">
        <v>24</v>
      </c>
      <c r="AG119" s="95">
        <f>AE119*AC119*AF119*0.0036</f>
        <v>10.7568</v>
      </c>
      <c r="AH119" s="95">
        <f>AE119*AD119*AF119*0.0036</f>
        <v>8.8128</v>
      </c>
      <c r="AI119" s="69">
        <v>30</v>
      </c>
      <c r="AJ119" s="35">
        <v>12</v>
      </c>
      <c r="AK119" s="69">
        <v>0.61</v>
      </c>
      <c r="AL119" s="69">
        <v>0.74</v>
      </c>
      <c r="AM119" s="127">
        <f>AG119*AI119*AJ119*AK119</f>
        <v>2362.19328</v>
      </c>
      <c r="AN119" s="128">
        <f>AH119*AI119*AJ119*AL119</f>
        <v>2347.7299199999993</v>
      </c>
      <c r="AO119" s="93"/>
    </row>
    <row r="120" spans="1:41" ht="12.75" customHeight="1">
      <c r="A120" s="148">
        <v>102</v>
      </c>
      <c r="B120" s="148" t="s">
        <v>73</v>
      </c>
      <c r="C120" s="148" t="s">
        <v>2</v>
      </c>
      <c r="D120" s="148">
        <v>4</v>
      </c>
      <c r="E120" s="148" t="s">
        <v>1272</v>
      </c>
      <c r="F120" s="138" t="s">
        <v>1275</v>
      </c>
      <c r="G120" s="35" t="s">
        <v>2493</v>
      </c>
      <c r="H120" s="35" t="s">
        <v>4166</v>
      </c>
      <c r="I120" s="35" t="s">
        <v>4127</v>
      </c>
      <c r="J120" s="139">
        <v>29104391</v>
      </c>
      <c r="K120" s="35" t="s">
        <v>2438</v>
      </c>
      <c r="L120" s="35">
        <v>3447000</v>
      </c>
      <c r="M120" s="35" t="s">
        <v>3735</v>
      </c>
      <c r="N120" s="35" t="s">
        <v>4181</v>
      </c>
      <c r="O120" s="35">
        <v>3428</v>
      </c>
      <c r="P120" s="140">
        <v>43073</v>
      </c>
      <c r="Q120" s="140">
        <v>46724</v>
      </c>
      <c r="R120" s="62" t="s">
        <v>2440</v>
      </c>
      <c r="S120" s="35" t="s">
        <v>2441</v>
      </c>
      <c r="T120" s="142" t="s">
        <v>2443</v>
      </c>
      <c r="U120" s="138" t="s">
        <v>3142</v>
      </c>
      <c r="V120" s="138" t="s">
        <v>2006</v>
      </c>
      <c r="W120" s="138">
        <v>2549</v>
      </c>
      <c r="X120" s="143">
        <v>106622.97</v>
      </c>
      <c r="Y120" s="154">
        <v>95268.64</v>
      </c>
      <c r="Z120" s="69" t="s">
        <v>4057</v>
      </c>
      <c r="AA120" s="104">
        <v>43664</v>
      </c>
      <c r="AB120" s="69" t="s">
        <v>3945</v>
      </c>
      <c r="AC120" s="69">
        <v>95.2</v>
      </c>
      <c r="AD120" s="69">
        <v>52.5</v>
      </c>
      <c r="AE120" s="158">
        <v>0.975</v>
      </c>
      <c r="AF120" s="69">
        <v>24</v>
      </c>
      <c r="AG120" s="95">
        <f>AE120*AC120*AF120*0.0036</f>
        <v>8.019648</v>
      </c>
      <c r="AH120" s="95">
        <f>AE120*AD120*AF120*0.0036</f>
        <v>4.4226</v>
      </c>
      <c r="AI120" s="69">
        <v>30</v>
      </c>
      <c r="AJ120" s="35">
        <v>12</v>
      </c>
      <c r="AK120" s="35">
        <v>0.68</v>
      </c>
      <c r="AL120" s="35">
        <v>0.72</v>
      </c>
      <c r="AM120" s="145">
        <f t="shared" si="2"/>
        <v>1963.2098304</v>
      </c>
      <c r="AN120" s="146">
        <f t="shared" si="3"/>
        <v>1146.33792</v>
      </c>
      <c r="AO120" s="159" t="s">
        <v>2457</v>
      </c>
    </row>
    <row r="121" spans="1:41" ht="12.75" customHeight="1">
      <c r="A121" s="35">
        <v>103</v>
      </c>
      <c r="B121" s="35" t="s">
        <v>73</v>
      </c>
      <c r="C121" s="35" t="s">
        <v>2</v>
      </c>
      <c r="D121" s="35">
        <v>4</v>
      </c>
      <c r="E121" s="35" t="s">
        <v>1273</v>
      </c>
      <c r="F121" s="138" t="s">
        <v>1275</v>
      </c>
      <c r="G121" s="35" t="s">
        <v>2493</v>
      </c>
      <c r="H121" s="35" t="s">
        <v>4166</v>
      </c>
      <c r="I121" s="35" t="s">
        <v>4127</v>
      </c>
      <c r="J121" s="139">
        <v>29104391</v>
      </c>
      <c r="K121" s="35" t="s">
        <v>2438</v>
      </c>
      <c r="L121" s="35">
        <v>3447000</v>
      </c>
      <c r="M121" s="35" t="s">
        <v>3735</v>
      </c>
      <c r="N121" s="35" t="s">
        <v>4181</v>
      </c>
      <c r="O121" s="35">
        <v>3428</v>
      </c>
      <c r="P121" s="140">
        <v>43073</v>
      </c>
      <c r="Q121" s="140">
        <v>46724</v>
      </c>
      <c r="R121" s="62" t="s">
        <v>2440</v>
      </c>
      <c r="S121" s="35" t="s">
        <v>2441</v>
      </c>
      <c r="T121" s="142" t="s">
        <v>2443</v>
      </c>
      <c r="U121" s="138" t="s">
        <v>3143</v>
      </c>
      <c r="V121" s="138" t="s">
        <v>2007</v>
      </c>
      <c r="W121" s="138">
        <v>2549</v>
      </c>
      <c r="X121" s="143">
        <v>106635.56</v>
      </c>
      <c r="Y121" s="143">
        <v>95258.77</v>
      </c>
      <c r="Z121" s="69" t="s">
        <v>3741</v>
      </c>
      <c r="AA121" s="82"/>
      <c r="AB121" s="82"/>
      <c r="AC121" s="82"/>
      <c r="AD121" s="82"/>
      <c r="AE121" s="202"/>
      <c r="AF121" s="82"/>
      <c r="AG121" s="95"/>
      <c r="AH121" s="95"/>
      <c r="AI121" s="69"/>
      <c r="AJ121" s="35"/>
      <c r="AK121" s="69"/>
      <c r="AL121" s="69"/>
      <c r="AM121" s="145">
        <f t="shared" si="2"/>
        <v>0</v>
      </c>
      <c r="AN121" s="146">
        <f t="shared" si="3"/>
        <v>0</v>
      </c>
      <c r="AO121" s="82" t="s">
        <v>2457</v>
      </c>
    </row>
    <row r="122" spans="1:41" ht="12.75" customHeight="1">
      <c r="A122" s="35">
        <v>104</v>
      </c>
      <c r="B122" s="35" t="s">
        <v>73</v>
      </c>
      <c r="C122" s="35" t="s">
        <v>2</v>
      </c>
      <c r="D122" s="35">
        <v>4</v>
      </c>
      <c r="E122" s="35" t="s">
        <v>1274</v>
      </c>
      <c r="F122" s="138" t="s">
        <v>1275</v>
      </c>
      <c r="G122" s="35" t="s">
        <v>2493</v>
      </c>
      <c r="H122" s="35" t="s">
        <v>4166</v>
      </c>
      <c r="I122" s="35" t="s">
        <v>4127</v>
      </c>
      <c r="J122" s="139">
        <v>29104391</v>
      </c>
      <c r="K122" s="35" t="s">
        <v>2438</v>
      </c>
      <c r="L122" s="35">
        <v>3447000</v>
      </c>
      <c r="M122" s="35" t="s">
        <v>3735</v>
      </c>
      <c r="N122" s="35" t="s">
        <v>4181</v>
      </c>
      <c r="O122" s="35">
        <v>3428</v>
      </c>
      <c r="P122" s="140">
        <v>43073</v>
      </c>
      <c r="Q122" s="140">
        <v>46724</v>
      </c>
      <c r="R122" s="62" t="s">
        <v>2440</v>
      </c>
      <c r="S122" s="35" t="s">
        <v>2441</v>
      </c>
      <c r="T122" s="142" t="s">
        <v>2443</v>
      </c>
      <c r="U122" s="138" t="s">
        <v>3144</v>
      </c>
      <c r="V122" s="138" t="s">
        <v>2008</v>
      </c>
      <c r="W122" s="138">
        <v>2549</v>
      </c>
      <c r="X122" s="143">
        <v>106639.87</v>
      </c>
      <c r="Y122" s="143">
        <v>95255.07</v>
      </c>
      <c r="Z122" s="69" t="s">
        <v>3741</v>
      </c>
      <c r="AA122" s="82"/>
      <c r="AB122" s="82"/>
      <c r="AC122" s="82"/>
      <c r="AD122" s="82"/>
      <c r="AE122" s="202"/>
      <c r="AF122" s="82"/>
      <c r="AG122" s="95"/>
      <c r="AH122" s="95"/>
      <c r="AI122" s="69"/>
      <c r="AJ122" s="35"/>
      <c r="AK122" s="69"/>
      <c r="AL122" s="69"/>
      <c r="AM122" s="145">
        <f t="shared" si="2"/>
        <v>0</v>
      </c>
      <c r="AN122" s="146">
        <f t="shared" si="3"/>
        <v>0</v>
      </c>
      <c r="AO122" s="82" t="s">
        <v>2457</v>
      </c>
    </row>
    <row r="123" spans="1:41" ht="82.5" customHeight="1">
      <c r="A123" s="35">
        <v>105</v>
      </c>
      <c r="B123" s="35" t="s">
        <v>73</v>
      </c>
      <c r="C123" s="35" t="s">
        <v>2</v>
      </c>
      <c r="D123" s="69">
        <v>4</v>
      </c>
      <c r="E123" s="35" t="s">
        <v>1241</v>
      </c>
      <c r="F123" s="69" t="s">
        <v>1239</v>
      </c>
      <c r="G123" s="35" t="s">
        <v>2493</v>
      </c>
      <c r="H123" s="35" t="s">
        <v>4166</v>
      </c>
      <c r="I123" s="35" t="s">
        <v>4127</v>
      </c>
      <c r="J123" s="139">
        <v>29104391</v>
      </c>
      <c r="K123" s="35" t="s">
        <v>2438</v>
      </c>
      <c r="L123" s="35">
        <v>3447000</v>
      </c>
      <c r="M123" s="35" t="s">
        <v>3735</v>
      </c>
      <c r="N123" s="35" t="s">
        <v>4181</v>
      </c>
      <c r="O123" s="35">
        <v>3428</v>
      </c>
      <c r="P123" s="140">
        <v>43073</v>
      </c>
      <c r="Q123" s="140">
        <v>46724</v>
      </c>
      <c r="R123" s="62" t="s">
        <v>2440</v>
      </c>
      <c r="S123" s="180" t="s">
        <v>2436</v>
      </c>
      <c r="T123" s="69" t="s">
        <v>2444</v>
      </c>
      <c r="U123" s="69" t="s">
        <v>3145</v>
      </c>
      <c r="V123" s="69" t="s">
        <v>68</v>
      </c>
      <c r="W123" s="69">
        <v>2548</v>
      </c>
      <c r="X123" s="143">
        <v>106665.37</v>
      </c>
      <c r="Y123" s="143">
        <v>95205.74</v>
      </c>
      <c r="Z123" s="69" t="s">
        <v>3946</v>
      </c>
      <c r="AA123" s="67">
        <v>43525</v>
      </c>
      <c r="AB123" s="147">
        <v>0.45</v>
      </c>
      <c r="AC123" s="93"/>
      <c r="AD123" s="93"/>
      <c r="AE123" s="200"/>
      <c r="AF123" s="93"/>
      <c r="AG123" s="93"/>
      <c r="AH123" s="93"/>
      <c r="AI123" s="93"/>
      <c r="AJ123" s="93"/>
      <c r="AK123" s="93"/>
      <c r="AL123" s="93"/>
      <c r="AM123" s="117">
        <f t="shared" si="2"/>
        <v>0</v>
      </c>
      <c r="AN123" s="118">
        <f t="shared" si="3"/>
        <v>0</v>
      </c>
      <c r="AO123" s="82" t="s">
        <v>2457</v>
      </c>
    </row>
    <row r="124" spans="1:41" ht="45" customHeight="1">
      <c r="A124" s="35">
        <v>106</v>
      </c>
      <c r="B124" s="35" t="s">
        <v>73</v>
      </c>
      <c r="C124" s="35" t="s">
        <v>2</v>
      </c>
      <c r="D124" s="69">
        <v>4</v>
      </c>
      <c r="E124" s="35" t="s">
        <v>1242</v>
      </c>
      <c r="F124" s="69" t="s">
        <v>1277</v>
      </c>
      <c r="G124" s="35" t="s">
        <v>2493</v>
      </c>
      <c r="H124" s="35" t="s">
        <v>4166</v>
      </c>
      <c r="I124" s="35" t="s">
        <v>4127</v>
      </c>
      <c r="J124" s="139">
        <v>29104391</v>
      </c>
      <c r="K124" s="35" t="s">
        <v>2438</v>
      </c>
      <c r="L124" s="35">
        <v>3447000</v>
      </c>
      <c r="M124" s="35" t="s">
        <v>3735</v>
      </c>
      <c r="N124" s="35" t="s">
        <v>4181</v>
      </c>
      <c r="O124" s="35">
        <v>3428</v>
      </c>
      <c r="P124" s="140">
        <v>43073</v>
      </c>
      <c r="Q124" s="140">
        <v>46724</v>
      </c>
      <c r="R124" s="62" t="s">
        <v>2440</v>
      </c>
      <c r="S124" s="35" t="s">
        <v>2441</v>
      </c>
      <c r="T124" s="69" t="s">
        <v>2444</v>
      </c>
      <c r="U124" s="69" t="s">
        <v>3146</v>
      </c>
      <c r="V124" s="69" t="s">
        <v>2009</v>
      </c>
      <c r="W124" s="69">
        <v>2548</v>
      </c>
      <c r="X124" s="143">
        <v>106673.67</v>
      </c>
      <c r="Y124" s="143">
        <v>95197.1</v>
      </c>
      <c r="Z124" s="69" t="s">
        <v>3753</v>
      </c>
      <c r="AA124" s="67">
        <v>43525</v>
      </c>
      <c r="AB124" s="147">
        <v>0.4513888888888889</v>
      </c>
      <c r="AC124" s="69"/>
      <c r="AD124" s="93"/>
      <c r="AE124" s="200"/>
      <c r="AF124" s="93"/>
      <c r="AG124" s="93"/>
      <c r="AH124" s="93"/>
      <c r="AI124" s="93"/>
      <c r="AJ124" s="93"/>
      <c r="AK124" s="93"/>
      <c r="AL124" s="93"/>
      <c r="AM124" s="117">
        <f t="shared" si="2"/>
        <v>0</v>
      </c>
      <c r="AN124" s="118">
        <f t="shared" si="3"/>
        <v>0</v>
      </c>
      <c r="AO124" s="82" t="s">
        <v>2457</v>
      </c>
    </row>
    <row r="125" spans="1:41" ht="12.75">
      <c r="A125" s="35">
        <v>107</v>
      </c>
      <c r="B125" s="35" t="s">
        <v>73</v>
      </c>
      <c r="C125" s="35" t="s">
        <v>2</v>
      </c>
      <c r="D125" s="35">
        <v>4</v>
      </c>
      <c r="E125" s="35" t="s">
        <v>1276</v>
      </c>
      <c r="F125" s="138" t="s">
        <v>1275</v>
      </c>
      <c r="G125" s="35" t="s">
        <v>2493</v>
      </c>
      <c r="H125" s="35" t="s">
        <v>4166</v>
      </c>
      <c r="I125" s="35" t="s">
        <v>4127</v>
      </c>
      <c r="J125" s="139">
        <v>29104391</v>
      </c>
      <c r="K125" s="35" t="s">
        <v>2438</v>
      </c>
      <c r="L125" s="35">
        <v>3447000</v>
      </c>
      <c r="M125" s="35" t="s">
        <v>3735</v>
      </c>
      <c r="N125" s="35" t="s">
        <v>4181</v>
      </c>
      <c r="O125" s="35">
        <v>3428</v>
      </c>
      <c r="P125" s="140">
        <v>43073</v>
      </c>
      <c r="Q125" s="140">
        <v>46724</v>
      </c>
      <c r="R125" s="62" t="s">
        <v>2440</v>
      </c>
      <c r="S125" s="138" t="s">
        <v>2442</v>
      </c>
      <c r="T125" s="138" t="s">
        <v>2447</v>
      </c>
      <c r="U125" s="138" t="s">
        <v>3147</v>
      </c>
      <c r="V125" s="138" t="s">
        <v>2010</v>
      </c>
      <c r="W125" s="138">
        <v>2549</v>
      </c>
      <c r="X125" s="143">
        <v>106691.18</v>
      </c>
      <c r="Y125" s="143">
        <v>95174.59</v>
      </c>
      <c r="Z125" s="69" t="s">
        <v>3741</v>
      </c>
      <c r="AA125" s="82"/>
      <c r="AB125" s="82"/>
      <c r="AC125" s="82"/>
      <c r="AD125" s="82"/>
      <c r="AE125" s="202"/>
      <c r="AF125" s="82"/>
      <c r="AG125" s="95"/>
      <c r="AH125" s="95"/>
      <c r="AI125" s="69"/>
      <c r="AJ125" s="35"/>
      <c r="AK125" s="69"/>
      <c r="AL125" s="69"/>
      <c r="AM125" s="145">
        <f t="shared" si="2"/>
        <v>0</v>
      </c>
      <c r="AN125" s="146">
        <f t="shared" si="3"/>
        <v>0</v>
      </c>
      <c r="AO125" s="82" t="s">
        <v>2457</v>
      </c>
    </row>
    <row r="126" spans="1:41" ht="12.75" customHeight="1">
      <c r="A126" s="35">
        <v>108</v>
      </c>
      <c r="B126" s="35" t="s">
        <v>73</v>
      </c>
      <c r="C126" s="35" t="s">
        <v>2</v>
      </c>
      <c r="D126" s="69">
        <v>4</v>
      </c>
      <c r="E126" s="35" t="s">
        <v>1243</v>
      </c>
      <c r="F126" s="69" t="s">
        <v>1278</v>
      </c>
      <c r="G126" s="35" t="s">
        <v>2493</v>
      </c>
      <c r="H126" s="35" t="s">
        <v>4166</v>
      </c>
      <c r="I126" s="35" t="s">
        <v>4127</v>
      </c>
      <c r="J126" s="139">
        <v>29104391</v>
      </c>
      <c r="K126" s="35" t="s">
        <v>2438</v>
      </c>
      <c r="L126" s="35">
        <v>3447000</v>
      </c>
      <c r="M126" s="35" t="s">
        <v>3735</v>
      </c>
      <c r="N126" s="35" t="s">
        <v>4181</v>
      </c>
      <c r="O126" s="35">
        <v>3428</v>
      </c>
      <c r="P126" s="140">
        <v>43073</v>
      </c>
      <c r="Q126" s="140">
        <v>46724</v>
      </c>
      <c r="R126" s="62" t="s">
        <v>2440</v>
      </c>
      <c r="S126" s="35" t="s">
        <v>2441</v>
      </c>
      <c r="T126" s="142" t="s">
        <v>2443</v>
      </c>
      <c r="U126" s="69" t="s">
        <v>3148</v>
      </c>
      <c r="V126" s="69" t="s">
        <v>69</v>
      </c>
      <c r="W126" s="69">
        <v>2552</v>
      </c>
      <c r="X126" s="143">
        <v>106954.22</v>
      </c>
      <c r="Y126" s="143">
        <v>94933.78</v>
      </c>
      <c r="Z126" s="69" t="s">
        <v>3741</v>
      </c>
      <c r="AA126" s="82"/>
      <c r="AB126" s="82"/>
      <c r="AC126" s="93"/>
      <c r="AD126" s="93"/>
      <c r="AE126" s="200"/>
      <c r="AF126" s="93"/>
      <c r="AG126" s="93"/>
      <c r="AH126" s="93"/>
      <c r="AI126" s="93"/>
      <c r="AJ126" s="93"/>
      <c r="AK126" s="93"/>
      <c r="AL126" s="93"/>
      <c r="AM126" s="117">
        <f t="shared" si="2"/>
        <v>0</v>
      </c>
      <c r="AN126" s="118">
        <f t="shared" si="3"/>
        <v>0</v>
      </c>
      <c r="AO126" s="82" t="s">
        <v>2457</v>
      </c>
    </row>
    <row r="127" spans="1:41" ht="12.75" customHeight="1">
      <c r="A127" s="35">
        <v>109</v>
      </c>
      <c r="B127" s="35" t="s">
        <v>73</v>
      </c>
      <c r="C127" s="35" t="s">
        <v>2</v>
      </c>
      <c r="D127" s="35">
        <v>4</v>
      </c>
      <c r="E127" s="35" t="s">
        <v>2308</v>
      </c>
      <c r="F127" s="138" t="s">
        <v>1281</v>
      </c>
      <c r="G127" s="35" t="s">
        <v>2493</v>
      </c>
      <c r="H127" s="35" t="s">
        <v>4166</v>
      </c>
      <c r="I127" s="35" t="s">
        <v>4127</v>
      </c>
      <c r="J127" s="139">
        <v>29104391</v>
      </c>
      <c r="K127" s="35" t="s">
        <v>2438</v>
      </c>
      <c r="L127" s="35">
        <v>3447000</v>
      </c>
      <c r="M127" s="35" t="s">
        <v>3735</v>
      </c>
      <c r="N127" s="35" t="s">
        <v>4181</v>
      </c>
      <c r="O127" s="35">
        <v>3428</v>
      </c>
      <c r="P127" s="140">
        <v>43073</v>
      </c>
      <c r="Q127" s="140">
        <v>46724</v>
      </c>
      <c r="R127" s="62" t="s">
        <v>2440</v>
      </c>
      <c r="S127" s="35" t="s">
        <v>2441</v>
      </c>
      <c r="T127" s="142" t="s">
        <v>2443</v>
      </c>
      <c r="U127" s="138" t="s">
        <v>3149</v>
      </c>
      <c r="V127" s="138" t="s">
        <v>2011</v>
      </c>
      <c r="W127" s="138">
        <v>2549</v>
      </c>
      <c r="X127" s="143">
        <v>107213.573</v>
      </c>
      <c r="Y127" s="143">
        <v>94710.238</v>
      </c>
      <c r="Z127" s="69" t="s">
        <v>3741</v>
      </c>
      <c r="AA127" s="82"/>
      <c r="AB127" s="82"/>
      <c r="AC127" s="82"/>
      <c r="AD127" s="82"/>
      <c r="AE127" s="202"/>
      <c r="AF127" s="82"/>
      <c r="AG127" s="95"/>
      <c r="AH127" s="95"/>
      <c r="AI127" s="69"/>
      <c r="AJ127" s="35"/>
      <c r="AK127" s="69"/>
      <c r="AL127" s="69"/>
      <c r="AM127" s="145">
        <f t="shared" si="2"/>
        <v>0</v>
      </c>
      <c r="AN127" s="146">
        <f t="shared" si="3"/>
        <v>0</v>
      </c>
      <c r="AO127" s="176"/>
    </row>
    <row r="128" spans="1:41" ht="12.75" customHeight="1">
      <c r="A128" s="35">
        <v>110</v>
      </c>
      <c r="B128" s="35" t="s">
        <v>73</v>
      </c>
      <c r="C128" s="35" t="s">
        <v>2</v>
      </c>
      <c r="D128" s="35">
        <v>4</v>
      </c>
      <c r="E128" s="35" t="s">
        <v>1279</v>
      </c>
      <c r="F128" s="138" t="s">
        <v>1282</v>
      </c>
      <c r="G128" s="35" t="s">
        <v>2493</v>
      </c>
      <c r="H128" s="35" t="s">
        <v>4166</v>
      </c>
      <c r="I128" s="35" t="s">
        <v>4127</v>
      </c>
      <c r="J128" s="139">
        <v>29104391</v>
      </c>
      <c r="K128" s="35" t="s">
        <v>2438</v>
      </c>
      <c r="L128" s="35">
        <v>3447000</v>
      </c>
      <c r="M128" s="35" t="s">
        <v>3735</v>
      </c>
      <c r="N128" s="35" t="s">
        <v>4181</v>
      </c>
      <c r="O128" s="35">
        <v>3428</v>
      </c>
      <c r="P128" s="140">
        <v>43073</v>
      </c>
      <c r="Q128" s="140">
        <v>46724</v>
      </c>
      <c r="R128" s="62" t="s">
        <v>2440</v>
      </c>
      <c r="S128" s="35" t="s">
        <v>2441</v>
      </c>
      <c r="T128" s="142" t="s">
        <v>2443</v>
      </c>
      <c r="U128" s="138" t="s">
        <v>3150</v>
      </c>
      <c r="V128" s="138" t="s">
        <v>2012</v>
      </c>
      <c r="W128" s="138">
        <v>2548</v>
      </c>
      <c r="X128" s="143">
        <v>107197.89</v>
      </c>
      <c r="Y128" s="143">
        <v>94629.76</v>
      </c>
      <c r="Z128" s="69" t="s">
        <v>3741</v>
      </c>
      <c r="AA128" s="82"/>
      <c r="AB128" s="82"/>
      <c r="AC128" s="82"/>
      <c r="AD128" s="82"/>
      <c r="AE128" s="202"/>
      <c r="AF128" s="82"/>
      <c r="AG128" s="95"/>
      <c r="AH128" s="95"/>
      <c r="AI128" s="69"/>
      <c r="AJ128" s="35"/>
      <c r="AK128" s="69"/>
      <c r="AL128" s="69"/>
      <c r="AM128" s="145">
        <f t="shared" si="2"/>
        <v>0</v>
      </c>
      <c r="AN128" s="146">
        <f t="shared" si="3"/>
        <v>0</v>
      </c>
      <c r="AO128" s="82" t="s">
        <v>2457</v>
      </c>
    </row>
    <row r="129" spans="1:41" ht="12.75">
      <c r="A129" s="35">
        <v>111</v>
      </c>
      <c r="B129" s="35" t="s">
        <v>73</v>
      </c>
      <c r="C129" s="35" t="s">
        <v>2</v>
      </c>
      <c r="D129" s="35">
        <v>4</v>
      </c>
      <c r="E129" s="35" t="s">
        <v>1280</v>
      </c>
      <c r="F129" s="138" t="s">
        <v>1283</v>
      </c>
      <c r="G129" s="35" t="s">
        <v>2493</v>
      </c>
      <c r="H129" s="35" t="s">
        <v>4166</v>
      </c>
      <c r="I129" s="35" t="s">
        <v>4127</v>
      </c>
      <c r="J129" s="139">
        <v>29104391</v>
      </c>
      <c r="K129" s="35" t="s">
        <v>2438</v>
      </c>
      <c r="L129" s="35">
        <v>3447000</v>
      </c>
      <c r="M129" s="35" t="s">
        <v>3735</v>
      </c>
      <c r="N129" s="35" t="s">
        <v>4181</v>
      </c>
      <c r="O129" s="35">
        <v>3428</v>
      </c>
      <c r="P129" s="140">
        <v>43073</v>
      </c>
      <c r="Q129" s="140">
        <v>46724</v>
      </c>
      <c r="R129" s="62" t="s">
        <v>2440</v>
      </c>
      <c r="S129" s="138" t="s">
        <v>2442</v>
      </c>
      <c r="T129" s="142" t="s">
        <v>2443</v>
      </c>
      <c r="U129" s="138" t="s">
        <v>3151</v>
      </c>
      <c r="V129" s="138" t="s">
        <v>2013</v>
      </c>
      <c r="W129" s="138">
        <v>2549</v>
      </c>
      <c r="X129" s="143">
        <v>107019.96</v>
      </c>
      <c r="Y129" s="143">
        <v>94420.72</v>
      </c>
      <c r="Z129" s="69" t="s">
        <v>3741</v>
      </c>
      <c r="AA129" s="82"/>
      <c r="AB129" s="82"/>
      <c r="AC129" s="82"/>
      <c r="AD129" s="82"/>
      <c r="AE129" s="202"/>
      <c r="AF129" s="82"/>
      <c r="AG129" s="95"/>
      <c r="AH129" s="95"/>
      <c r="AI129" s="69"/>
      <c r="AJ129" s="35"/>
      <c r="AK129" s="69"/>
      <c r="AL129" s="69"/>
      <c r="AM129" s="145">
        <f t="shared" si="2"/>
        <v>0</v>
      </c>
      <c r="AN129" s="146">
        <f t="shared" si="3"/>
        <v>0</v>
      </c>
      <c r="AO129" s="82" t="s">
        <v>2457</v>
      </c>
    </row>
    <row r="130" spans="1:41" ht="12.75" customHeight="1">
      <c r="A130" s="35">
        <v>112</v>
      </c>
      <c r="B130" s="35" t="s">
        <v>73</v>
      </c>
      <c r="C130" s="35" t="s">
        <v>2</v>
      </c>
      <c r="D130" s="35">
        <v>4</v>
      </c>
      <c r="E130" s="35" t="s">
        <v>1284</v>
      </c>
      <c r="F130" s="138" t="s">
        <v>1283</v>
      </c>
      <c r="G130" s="35" t="s">
        <v>2493</v>
      </c>
      <c r="H130" s="35" t="s">
        <v>4166</v>
      </c>
      <c r="I130" s="35" t="s">
        <v>4127</v>
      </c>
      <c r="J130" s="139">
        <v>29104391</v>
      </c>
      <c r="K130" s="35" t="s">
        <v>2438</v>
      </c>
      <c r="L130" s="35">
        <v>3447000</v>
      </c>
      <c r="M130" s="35" t="s">
        <v>3735</v>
      </c>
      <c r="N130" s="35" t="s">
        <v>4181</v>
      </c>
      <c r="O130" s="35">
        <v>3428</v>
      </c>
      <c r="P130" s="140">
        <v>43073</v>
      </c>
      <c r="Q130" s="140">
        <v>46724</v>
      </c>
      <c r="R130" s="62" t="s">
        <v>2440</v>
      </c>
      <c r="S130" s="35" t="s">
        <v>2441</v>
      </c>
      <c r="T130" s="142" t="s">
        <v>2443</v>
      </c>
      <c r="U130" s="138" t="s">
        <v>3152</v>
      </c>
      <c r="V130" s="138" t="s">
        <v>2014</v>
      </c>
      <c r="W130" s="138">
        <v>2547</v>
      </c>
      <c r="X130" s="143">
        <v>106945.9</v>
      </c>
      <c r="Y130" s="143">
        <v>94234.18</v>
      </c>
      <c r="Z130" s="69" t="s">
        <v>3741</v>
      </c>
      <c r="AA130" s="67"/>
      <c r="AB130" s="69"/>
      <c r="AC130" s="69"/>
      <c r="AD130" s="69"/>
      <c r="AE130" s="158"/>
      <c r="AF130" s="69"/>
      <c r="AG130" s="95"/>
      <c r="AH130" s="95"/>
      <c r="AI130" s="69"/>
      <c r="AJ130" s="35"/>
      <c r="AK130" s="69"/>
      <c r="AL130" s="69"/>
      <c r="AM130" s="145">
        <f t="shared" si="2"/>
        <v>0</v>
      </c>
      <c r="AN130" s="146">
        <f t="shared" si="3"/>
        <v>0</v>
      </c>
      <c r="AO130" s="82" t="s">
        <v>2457</v>
      </c>
    </row>
    <row r="131" spans="1:41" ht="12.75" customHeight="1">
      <c r="A131" s="35">
        <v>113</v>
      </c>
      <c r="B131" s="35" t="s">
        <v>73</v>
      </c>
      <c r="C131" s="35" t="s">
        <v>2</v>
      </c>
      <c r="D131" s="69">
        <v>4</v>
      </c>
      <c r="E131" s="35" t="s">
        <v>1244</v>
      </c>
      <c r="F131" s="69" t="s">
        <v>2086</v>
      </c>
      <c r="G131" s="35" t="s">
        <v>2493</v>
      </c>
      <c r="H131" s="35" t="s">
        <v>4166</v>
      </c>
      <c r="I131" s="35" t="s">
        <v>4127</v>
      </c>
      <c r="J131" s="139">
        <v>29104391</v>
      </c>
      <c r="K131" s="35" t="s">
        <v>2438</v>
      </c>
      <c r="L131" s="35">
        <v>3447000</v>
      </c>
      <c r="M131" s="35" t="s">
        <v>3735</v>
      </c>
      <c r="N131" s="35" t="s">
        <v>4181</v>
      </c>
      <c r="O131" s="35">
        <v>3428</v>
      </c>
      <c r="P131" s="140">
        <v>43073</v>
      </c>
      <c r="Q131" s="140">
        <v>46724</v>
      </c>
      <c r="R131" s="62" t="s">
        <v>2440</v>
      </c>
      <c r="S131" s="138" t="s">
        <v>2442</v>
      </c>
      <c r="T131" s="142" t="s">
        <v>2443</v>
      </c>
      <c r="U131" s="69" t="s">
        <v>3153</v>
      </c>
      <c r="V131" s="69" t="s">
        <v>70</v>
      </c>
      <c r="W131" s="138">
        <v>2547</v>
      </c>
      <c r="X131" s="143">
        <v>106856.78</v>
      </c>
      <c r="Y131" s="143">
        <v>94185.16</v>
      </c>
      <c r="Z131" s="69" t="s">
        <v>3741</v>
      </c>
      <c r="AA131" s="82"/>
      <c r="AB131" s="82"/>
      <c r="AC131" s="93"/>
      <c r="AD131" s="93"/>
      <c r="AE131" s="93"/>
      <c r="AF131" s="93"/>
      <c r="AG131" s="93"/>
      <c r="AH131" s="93"/>
      <c r="AI131" s="93"/>
      <c r="AJ131" s="93"/>
      <c r="AK131" s="93"/>
      <c r="AL131" s="93"/>
      <c r="AM131" s="117">
        <f t="shared" si="2"/>
        <v>0</v>
      </c>
      <c r="AN131" s="118">
        <f t="shared" si="3"/>
        <v>0</v>
      </c>
      <c r="AO131" s="82" t="s">
        <v>2457</v>
      </c>
    </row>
    <row r="132" spans="1:41" ht="12.75">
      <c r="A132" s="35">
        <v>114</v>
      </c>
      <c r="B132" s="35" t="s">
        <v>73</v>
      </c>
      <c r="C132" s="35" t="s">
        <v>2</v>
      </c>
      <c r="D132" s="35">
        <v>4</v>
      </c>
      <c r="E132" s="35" t="s">
        <v>1285</v>
      </c>
      <c r="F132" s="138" t="s">
        <v>1286</v>
      </c>
      <c r="G132" s="35" t="s">
        <v>2493</v>
      </c>
      <c r="H132" s="35" t="s">
        <v>4166</v>
      </c>
      <c r="I132" s="35" t="s">
        <v>4127</v>
      </c>
      <c r="J132" s="139">
        <v>29104391</v>
      </c>
      <c r="K132" s="35" t="s">
        <v>2438</v>
      </c>
      <c r="L132" s="35">
        <v>3447000</v>
      </c>
      <c r="M132" s="35" t="s">
        <v>3735</v>
      </c>
      <c r="N132" s="35" t="s">
        <v>4181</v>
      </c>
      <c r="O132" s="35">
        <v>3428</v>
      </c>
      <c r="P132" s="140">
        <v>43073</v>
      </c>
      <c r="Q132" s="140">
        <v>46724</v>
      </c>
      <c r="R132" s="62" t="s">
        <v>2440</v>
      </c>
      <c r="S132" s="35" t="s">
        <v>2441</v>
      </c>
      <c r="T132" s="142" t="s">
        <v>2443</v>
      </c>
      <c r="U132" s="138" t="s">
        <v>3154</v>
      </c>
      <c r="V132" s="138" t="s">
        <v>2015</v>
      </c>
      <c r="W132" s="138">
        <v>2550</v>
      </c>
      <c r="X132" s="143">
        <v>106762.13</v>
      </c>
      <c r="Y132" s="143">
        <v>94032.85</v>
      </c>
      <c r="Z132" s="69" t="s">
        <v>3741</v>
      </c>
      <c r="AA132" s="82"/>
      <c r="AB132" s="82"/>
      <c r="AC132" s="82"/>
      <c r="AD132" s="82"/>
      <c r="AE132" s="82"/>
      <c r="AF132" s="82"/>
      <c r="AG132" s="95"/>
      <c r="AH132" s="95"/>
      <c r="AI132" s="69"/>
      <c r="AJ132" s="35"/>
      <c r="AK132" s="69"/>
      <c r="AL132" s="69"/>
      <c r="AM132" s="145">
        <f t="shared" si="2"/>
        <v>0</v>
      </c>
      <c r="AN132" s="146">
        <f t="shared" si="3"/>
        <v>0</v>
      </c>
      <c r="AO132" s="82" t="s">
        <v>2457</v>
      </c>
    </row>
    <row r="133" spans="1:41" ht="12.75" customHeight="1">
      <c r="A133" s="35">
        <v>115</v>
      </c>
      <c r="B133" s="35" t="s">
        <v>73</v>
      </c>
      <c r="C133" s="35" t="s">
        <v>2</v>
      </c>
      <c r="D133" s="69">
        <v>4</v>
      </c>
      <c r="E133" s="35" t="s">
        <v>1245</v>
      </c>
      <c r="F133" s="69" t="s">
        <v>1286</v>
      </c>
      <c r="G133" s="35" t="s">
        <v>2493</v>
      </c>
      <c r="H133" s="35" t="s">
        <v>4166</v>
      </c>
      <c r="I133" s="35" t="s">
        <v>4127</v>
      </c>
      <c r="J133" s="139">
        <v>29104391</v>
      </c>
      <c r="K133" s="35" t="s">
        <v>2438</v>
      </c>
      <c r="L133" s="35">
        <v>3447000</v>
      </c>
      <c r="M133" s="35" t="s">
        <v>3735</v>
      </c>
      <c r="N133" s="35" t="s">
        <v>4181</v>
      </c>
      <c r="O133" s="35">
        <v>3428</v>
      </c>
      <c r="P133" s="140">
        <v>43073</v>
      </c>
      <c r="Q133" s="140">
        <v>46724</v>
      </c>
      <c r="R133" s="62" t="s">
        <v>2440</v>
      </c>
      <c r="S133" s="138" t="s">
        <v>2442</v>
      </c>
      <c r="T133" s="142" t="s">
        <v>2443</v>
      </c>
      <c r="U133" s="69" t="s">
        <v>71</v>
      </c>
      <c r="V133" s="69" t="s">
        <v>72</v>
      </c>
      <c r="W133" s="69">
        <v>2549</v>
      </c>
      <c r="X133" s="143">
        <v>106733.25</v>
      </c>
      <c r="Y133" s="143">
        <v>94059.67</v>
      </c>
      <c r="Z133" s="69" t="s">
        <v>3741</v>
      </c>
      <c r="AA133" s="82"/>
      <c r="AB133" s="82"/>
      <c r="AC133" s="93"/>
      <c r="AD133" s="93"/>
      <c r="AE133" s="93"/>
      <c r="AF133" s="93"/>
      <c r="AG133" s="93"/>
      <c r="AH133" s="93"/>
      <c r="AI133" s="93"/>
      <c r="AJ133" s="93"/>
      <c r="AK133" s="93"/>
      <c r="AL133" s="93"/>
      <c r="AM133" s="117">
        <f t="shared" si="2"/>
        <v>0</v>
      </c>
      <c r="AN133" s="118">
        <f t="shared" si="3"/>
        <v>0</v>
      </c>
      <c r="AO133" s="82" t="s">
        <v>2457</v>
      </c>
    </row>
    <row r="134" spans="1:41" ht="64.5" customHeight="1">
      <c r="A134" s="35">
        <v>116</v>
      </c>
      <c r="B134" s="35" t="s">
        <v>73</v>
      </c>
      <c r="C134" s="35" t="s">
        <v>2</v>
      </c>
      <c r="D134" s="69">
        <v>4</v>
      </c>
      <c r="E134" s="35" t="s">
        <v>1246</v>
      </c>
      <c r="F134" s="69" t="s">
        <v>2087</v>
      </c>
      <c r="G134" s="35" t="s">
        <v>2493</v>
      </c>
      <c r="H134" s="35" t="s">
        <v>4166</v>
      </c>
      <c r="I134" s="35" t="s">
        <v>4127</v>
      </c>
      <c r="J134" s="139">
        <v>29104391</v>
      </c>
      <c r="K134" s="35" t="s">
        <v>2438</v>
      </c>
      <c r="L134" s="35">
        <v>3447000</v>
      </c>
      <c r="M134" s="35" t="s">
        <v>3735</v>
      </c>
      <c r="N134" s="35" t="s">
        <v>4181</v>
      </c>
      <c r="O134" s="35">
        <v>3428</v>
      </c>
      <c r="P134" s="140">
        <v>43073</v>
      </c>
      <c r="Q134" s="140">
        <v>46724</v>
      </c>
      <c r="R134" s="62" t="s">
        <v>2440</v>
      </c>
      <c r="S134" s="69" t="s">
        <v>2441</v>
      </c>
      <c r="T134" s="142" t="s">
        <v>2443</v>
      </c>
      <c r="U134" s="69" t="s">
        <v>2384</v>
      </c>
      <c r="V134" s="69" t="s">
        <v>2385</v>
      </c>
      <c r="W134" s="69">
        <v>2547</v>
      </c>
      <c r="X134" s="143">
        <v>106932.99</v>
      </c>
      <c r="Y134" s="143">
        <v>94209.52</v>
      </c>
      <c r="Z134" s="69" t="s">
        <v>4088</v>
      </c>
      <c r="AA134" s="104"/>
      <c r="AB134" s="181"/>
      <c r="AC134" s="69"/>
      <c r="AD134" s="69"/>
      <c r="AE134" s="69"/>
      <c r="AF134" s="69"/>
      <c r="AG134" s="95"/>
      <c r="AH134" s="95"/>
      <c r="AI134" s="69"/>
      <c r="AJ134" s="35"/>
      <c r="AK134" s="35"/>
      <c r="AL134" s="35"/>
      <c r="AM134" s="117">
        <v>46179.07319423134</v>
      </c>
      <c r="AN134" s="118">
        <v>3494.925003921575</v>
      </c>
      <c r="AO134" s="82" t="s">
        <v>2457</v>
      </c>
    </row>
    <row r="135" spans="1:41" ht="12.75" customHeight="1">
      <c r="A135" s="35">
        <v>117</v>
      </c>
      <c r="B135" s="35" t="s">
        <v>73</v>
      </c>
      <c r="C135" s="35" t="s">
        <v>2</v>
      </c>
      <c r="D135" s="35">
        <v>4</v>
      </c>
      <c r="E135" s="35" t="s">
        <v>1287</v>
      </c>
      <c r="F135" s="138" t="s">
        <v>1289</v>
      </c>
      <c r="G135" s="35" t="s">
        <v>2493</v>
      </c>
      <c r="H135" s="35" t="s">
        <v>4166</v>
      </c>
      <c r="I135" s="35" t="s">
        <v>4127</v>
      </c>
      <c r="J135" s="139">
        <v>29104391</v>
      </c>
      <c r="K135" s="35" t="s">
        <v>2438</v>
      </c>
      <c r="L135" s="35">
        <v>3447000</v>
      </c>
      <c r="M135" s="35" t="s">
        <v>3735</v>
      </c>
      <c r="N135" s="35" t="s">
        <v>4181</v>
      </c>
      <c r="O135" s="35">
        <v>3428</v>
      </c>
      <c r="P135" s="140">
        <v>43073</v>
      </c>
      <c r="Q135" s="140">
        <v>46724</v>
      </c>
      <c r="R135" s="62" t="s">
        <v>2440</v>
      </c>
      <c r="S135" s="138" t="s">
        <v>2442</v>
      </c>
      <c r="T135" s="142" t="s">
        <v>2443</v>
      </c>
      <c r="U135" s="138" t="s">
        <v>3155</v>
      </c>
      <c r="V135" s="138" t="s">
        <v>2016</v>
      </c>
      <c r="W135" s="138">
        <v>2548</v>
      </c>
      <c r="X135" s="143">
        <v>106602.65</v>
      </c>
      <c r="Y135" s="143">
        <v>93921.85</v>
      </c>
      <c r="Z135" s="69" t="s">
        <v>3741</v>
      </c>
      <c r="AA135" s="176"/>
      <c r="AB135" s="176"/>
      <c r="AC135" s="176"/>
      <c r="AD135" s="176"/>
      <c r="AE135" s="176"/>
      <c r="AF135" s="176"/>
      <c r="AG135" s="95"/>
      <c r="AH135" s="95"/>
      <c r="AI135" s="69"/>
      <c r="AJ135" s="35"/>
      <c r="AK135" s="69"/>
      <c r="AL135" s="69"/>
      <c r="AM135" s="145">
        <f t="shared" si="2"/>
        <v>0</v>
      </c>
      <c r="AN135" s="146">
        <f t="shared" si="3"/>
        <v>0</v>
      </c>
      <c r="AO135" s="82" t="s">
        <v>2457</v>
      </c>
    </row>
    <row r="136" spans="1:43" ht="12.75" customHeight="1">
      <c r="A136" s="35">
        <v>118</v>
      </c>
      <c r="B136" s="35" t="s">
        <v>73</v>
      </c>
      <c r="C136" s="35" t="s">
        <v>2</v>
      </c>
      <c r="D136" s="35">
        <v>4</v>
      </c>
      <c r="E136" s="35" t="s">
        <v>1288</v>
      </c>
      <c r="F136" s="138" t="s">
        <v>1289</v>
      </c>
      <c r="G136" s="35" t="s">
        <v>2493</v>
      </c>
      <c r="H136" s="35" t="s">
        <v>4166</v>
      </c>
      <c r="I136" s="35" t="s">
        <v>4127</v>
      </c>
      <c r="J136" s="139">
        <v>29104391</v>
      </c>
      <c r="K136" s="35" t="s">
        <v>2438</v>
      </c>
      <c r="L136" s="35">
        <v>3447000</v>
      </c>
      <c r="M136" s="35" t="s">
        <v>3735</v>
      </c>
      <c r="N136" s="35" t="s">
        <v>4181</v>
      </c>
      <c r="O136" s="35">
        <v>3428</v>
      </c>
      <c r="P136" s="140">
        <v>43073</v>
      </c>
      <c r="Q136" s="140">
        <v>46724</v>
      </c>
      <c r="R136" s="62" t="s">
        <v>2440</v>
      </c>
      <c r="S136" s="138" t="s">
        <v>2442</v>
      </c>
      <c r="T136" s="142" t="s">
        <v>2443</v>
      </c>
      <c r="U136" s="138" t="s">
        <v>3156</v>
      </c>
      <c r="V136" s="138" t="s">
        <v>2017</v>
      </c>
      <c r="W136" s="138">
        <v>2548</v>
      </c>
      <c r="X136" s="143">
        <v>106554.71</v>
      </c>
      <c r="Y136" s="143">
        <v>93868.82</v>
      </c>
      <c r="Z136" s="69" t="s">
        <v>3741</v>
      </c>
      <c r="AA136" s="176"/>
      <c r="AB136" s="176"/>
      <c r="AC136" s="176"/>
      <c r="AD136" s="176"/>
      <c r="AE136" s="176"/>
      <c r="AF136" s="176"/>
      <c r="AG136" s="95"/>
      <c r="AH136" s="95"/>
      <c r="AI136" s="69"/>
      <c r="AJ136" s="35"/>
      <c r="AK136" s="69"/>
      <c r="AL136" s="69"/>
      <c r="AM136" s="145">
        <f t="shared" si="2"/>
        <v>0</v>
      </c>
      <c r="AN136" s="146">
        <f t="shared" si="3"/>
        <v>0</v>
      </c>
      <c r="AO136" s="82" t="s">
        <v>2457</v>
      </c>
      <c r="AP136" s="101"/>
      <c r="AQ136" s="101"/>
    </row>
    <row r="137" spans="1:43" ht="12.75">
      <c r="A137" s="226" t="s">
        <v>2414</v>
      </c>
      <c r="B137" s="226"/>
      <c r="C137" s="226"/>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6"/>
      <c r="AB137" s="226"/>
      <c r="AC137" s="226"/>
      <c r="AD137" s="226"/>
      <c r="AE137" s="226"/>
      <c r="AF137" s="226"/>
      <c r="AG137" s="226"/>
      <c r="AH137" s="226"/>
      <c r="AI137" s="226"/>
      <c r="AJ137" s="226"/>
      <c r="AK137" s="226"/>
      <c r="AL137" s="226"/>
      <c r="AM137" s="120">
        <f>SUM(AM80,AM84,AM87:AM90,AM93,AM98,AM100:AM102,AM104,AM106,AM109:AM110,AM114,AM116:AM117,AM123:AM124,AM126,AM131,AM133:AM134)</f>
        <v>120371.02145874623</v>
      </c>
      <c r="AN137" s="120">
        <f>SUM(AN80,AN84,AN87:AN90,AN93,AN98,AN100:AN102,AN104,AN106,AN109:AN110,AN114,AN116:AN117,AN123:AN124,AN126,AN131,AN133:AN134)</f>
        <v>84458.57202885028</v>
      </c>
      <c r="AO137" s="176"/>
      <c r="AP137" s="101"/>
      <c r="AQ137" s="101"/>
    </row>
    <row r="138" spans="1:41" ht="12.75">
      <c r="A138" s="227" t="s">
        <v>2415</v>
      </c>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88">
        <f>SUM(AM80,AM80:AM90,AM93,AM96:AM106,AM109:AM117,AM120:AM136)</f>
        <v>122334.23128914622</v>
      </c>
      <c r="AN138" s="88">
        <f>SUM(AN80,AN80:AN90,AN93,AN96:AN106,AN109:AN117,AN120:AN136)</f>
        <v>85604.90994885028</v>
      </c>
      <c r="AO138" s="176"/>
    </row>
  </sheetData>
  <sheetProtection/>
  <mergeCells count="46">
    <mergeCell ref="A138:AL138"/>
    <mergeCell ref="A79:AL79"/>
    <mergeCell ref="A69:AL69"/>
    <mergeCell ref="A70:AL70"/>
    <mergeCell ref="A78:AL78"/>
    <mergeCell ref="A1:A2"/>
    <mergeCell ref="B1:B2"/>
    <mergeCell ref="C1:C2"/>
    <mergeCell ref="D1:D2"/>
    <mergeCell ref="E1:E2"/>
    <mergeCell ref="A137:AL137"/>
    <mergeCell ref="U1:V1"/>
    <mergeCell ref="I1:I2"/>
    <mergeCell ref="J1:J2"/>
    <mergeCell ref="K1:K2"/>
    <mergeCell ref="L1:L2"/>
    <mergeCell ref="F1:F2"/>
    <mergeCell ref="G1:G2"/>
    <mergeCell ref="H1:H2"/>
    <mergeCell ref="A44:AL44"/>
    <mergeCell ref="AO1:AO2"/>
    <mergeCell ref="AA1:AA2"/>
    <mergeCell ref="AB1:AB2"/>
    <mergeCell ref="AM1:AM2"/>
    <mergeCell ref="AN1:AN2"/>
    <mergeCell ref="AI1:AI2"/>
    <mergeCell ref="AE1:AE2"/>
    <mergeCell ref="AL1:AL2"/>
    <mergeCell ref="AG1:AG2"/>
    <mergeCell ref="AH1:AH2"/>
    <mergeCell ref="AC1:AC2"/>
    <mergeCell ref="AD1:AD2"/>
    <mergeCell ref="X1:Y1"/>
    <mergeCell ref="Z1:Z2"/>
    <mergeCell ref="M1:M2"/>
    <mergeCell ref="N1:Q1"/>
    <mergeCell ref="A21:AL21"/>
    <mergeCell ref="AF1:AF2"/>
    <mergeCell ref="AJ1:AJ2"/>
    <mergeCell ref="AK1:AK2"/>
    <mergeCell ref="A22:AL22"/>
    <mergeCell ref="A43:AL43"/>
    <mergeCell ref="R1:R2"/>
    <mergeCell ref="S1:S2"/>
    <mergeCell ref="T1:T2"/>
    <mergeCell ref="W1:W2"/>
  </mergeCells>
  <printOptions/>
  <pageMargins left="0.7" right="0.7" top="0.75" bottom="0.75" header="0.3" footer="0.3"/>
  <pageSetup horizontalDpi="600" verticalDpi="600" orientation="portrait" r:id="rId1"/>
  <ignoredErrors>
    <ignoredError sqref="AM117:AN117 AM90:AN90 AM93:AN93 AM106:AN106" formula="1"/>
  </ignoredErrors>
</worksheet>
</file>

<file path=xl/worksheets/sheet7.xml><?xml version="1.0" encoding="utf-8"?>
<worksheet xmlns="http://schemas.openxmlformats.org/spreadsheetml/2006/main" xmlns:r="http://schemas.openxmlformats.org/officeDocument/2006/relationships">
  <dimension ref="A1:GS189"/>
  <sheetViews>
    <sheetView zoomScale="70" zoomScaleNormal="70" zoomScalePageLayoutView="0" workbookViewId="0" topLeftCell="A1">
      <pane xSplit="5" ySplit="2" topLeftCell="F172" activePane="bottomRight" state="frozen"/>
      <selection pane="topLeft" activeCell="A1" sqref="A1"/>
      <selection pane="topRight" activeCell="F1" sqref="F1"/>
      <selection pane="bottomLeft" activeCell="A3" sqref="A3"/>
      <selection pane="bottomRight" activeCell="N186" sqref="N186:N187"/>
    </sheetView>
  </sheetViews>
  <sheetFormatPr defaultColWidth="11.421875" defaultRowHeight="15"/>
  <cols>
    <col min="1" max="1" width="6.140625" style="8" customWidth="1"/>
    <col min="2" max="2" width="12.00390625" style="8" customWidth="1"/>
    <col min="3" max="3" width="18.140625" style="8" customWidth="1"/>
    <col min="4" max="4" width="23.7109375" style="8" customWidth="1"/>
    <col min="5" max="5" width="21.8515625" style="8" bestFit="1" customWidth="1"/>
    <col min="6" max="6" width="46.00390625" style="8" customWidth="1"/>
    <col min="7" max="7" width="14.00390625" style="8" customWidth="1"/>
    <col min="8" max="8" width="17.140625" style="8" customWidth="1"/>
    <col min="9" max="9" width="19.7109375" style="8" customWidth="1"/>
    <col min="10" max="10" width="17.421875" style="8" customWidth="1"/>
    <col min="11" max="11" width="15.140625" style="8" customWidth="1"/>
    <col min="12" max="12" width="15.28125" style="8" customWidth="1"/>
    <col min="13" max="13" width="14.421875" style="8" customWidth="1"/>
    <col min="14" max="14" width="6.7109375" style="8" customWidth="1"/>
    <col min="15" max="15" width="9.57421875" style="8" customWidth="1"/>
    <col min="16" max="16" width="10.00390625" style="8" bestFit="1" customWidth="1"/>
    <col min="17" max="17" width="10.28125" style="8" customWidth="1"/>
    <col min="18" max="18" width="15.57421875" style="8" customWidth="1"/>
    <col min="19" max="19" width="9.28125" style="8" customWidth="1"/>
    <col min="20" max="20" width="20.140625" style="8" customWidth="1"/>
    <col min="21" max="21" width="12.7109375" style="8" customWidth="1"/>
    <col min="22" max="22" width="13.7109375" style="8" customWidth="1"/>
    <col min="23" max="23" width="6.57421875" style="8" customWidth="1"/>
    <col min="24" max="25" width="11.421875" style="8" customWidth="1"/>
    <col min="26" max="26" width="67.00390625" style="8" customWidth="1"/>
    <col min="27" max="38" width="11.421875" style="8" customWidth="1"/>
    <col min="39" max="39" width="15.140625" style="8" customWidth="1"/>
    <col min="40" max="40" width="16.57421875" style="8" customWidth="1"/>
    <col min="41" max="16384" width="11.421875" style="8" customWidth="1"/>
  </cols>
  <sheetData>
    <row r="1" spans="1:41" s="6" customFormat="1" ht="12.75" customHeight="1">
      <c r="A1" s="217" t="s">
        <v>0</v>
      </c>
      <c r="B1" s="217" t="s">
        <v>2307</v>
      </c>
      <c r="C1" s="217" t="s">
        <v>84</v>
      </c>
      <c r="D1" s="217" t="s">
        <v>85</v>
      </c>
      <c r="E1" s="217" t="s">
        <v>2416</v>
      </c>
      <c r="F1" s="217" t="s">
        <v>87</v>
      </c>
      <c r="G1" s="217" t="s">
        <v>2417</v>
      </c>
      <c r="H1" s="217" t="s">
        <v>2418</v>
      </c>
      <c r="I1" s="217" t="s">
        <v>2419</v>
      </c>
      <c r="J1" s="223" t="s">
        <v>2420</v>
      </c>
      <c r="K1" s="217" t="s">
        <v>2421</v>
      </c>
      <c r="L1" s="217" t="s">
        <v>2422</v>
      </c>
      <c r="M1" s="217" t="s">
        <v>2423</v>
      </c>
      <c r="N1" s="217" t="s">
        <v>2424</v>
      </c>
      <c r="O1" s="217"/>
      <c r="P1" s="217"/>
      <c r="Q1" s="217"/>
      <c r="R1" s="217" t="s">
        <v>2429</v>
      </c>
      <c r="S1" s="217" t="s">
        <v>2430</v>
      </c>
      <c r="T1" s="217" t="s">
        <v>2431</v>
      </c>
      <c r="U1" s="217" t="s">
        <v>1</v>
      </c>
      <c r="V1" s="217"/>
      <c r="W1" s="217" t="s">
        <v>2432</v>
      </c>
      <c r="X1" s="217" t="s">
        <v>2433</v>
      </c>
      <c r="Y1" s="217"/>
      <c r="Z1" s="217" t="s">
        <v>2401</v>
      </c>
      <c r="AA1" s="217" t="s">
        <v>2402</v>
      </c>
      <c r="AB1" s="217" t="s">
        <v>2403</v>
      </c>
      <c r="AC1" s="217" t="s">
        <v>2386</v>
      </c>
      <c r="AD1" s="217" t="s">
        <v>2387</v>
      </c>
      <c r="AE1" s="217" t="s">
        <v>2388</v>
      </c>
      <c r="AF1" s="217" t="s">
        <v>2389</v>
      </c>
      <c r="AG1" s="217" t="s">
        <v>2390</v>
      </c>
      <c r="AH1" s="217" t="s">
        <v>2391</v>
      </c>
      <c r="AI1" s="217" t="s">
        <v>2392</v>
      </c>
      <c r="AJ1" s="217" t="s">
        <v>2393</v>
      </c>
      <c r="AK1" s="217" t="s">
        <v>2394</v>
      </c>
      <c r="AL1" s="217" t="s">
        <v>2395</v>
      </c>
      <c r="AM1" s="220" t="s">
        <v>2396</v>
      </c>
      <c r="AN1" s="220" t="s">
        <v>2397</v>
      </c>
      <c r="AO1" s="217" t="s">
        <v>2398</v>
      </c>
    </row>
    <row r="2" spans="1:41" s="6" customFormat="1" ht="38.25">
      <c r="A2" s="217"/>
      <c r="B2" s="217"/>
      <c r="C2" s="217"/>
      <c r="D2" s="217"/>
      <c r="E2" s="217"/>
      <c r="F2" s="217"/>
      <c r="G2" s="217"/>
      <c r="H2" s="217"/>
      <c r="I2" s="217"/>
      <c r="J2" s="223"/>
      <c r="K2" s="217"/>
      <c r="L2" s="217"/>
      <c r="M2" s="217"/>
      <c r="N2" s="86" t="s">
        <v>2425</v>
      </c>
      <c r="O2" s="86" t="s">
        <v>2426</v>
      </c>
      <c r="P2" s="86" t="s">
        <v>2427</v>
      </c>
      <c r="Q2" s="86" t="s">
        <v>2428</v>
      </c>
      <c r="R2" s="217"/>
      <c r="S2" s="217"/>
      <c r="T2" s="217"/>
      <c r="U2" s="86" t="s">
        <v>2399</v>
      </c>
      <c r="V2" s="86" t="s">
        <v>2400</v>
      </c>
      <c r="W2" s="217"/>
      <c r="X2" s="86" t="s">
        <v>2434</v>
      </c>
      <c r="Y2" s="86" t="s">
        <v>2435</v>
      </c>
      <c r="Z2" s="217"/>
      <c r="AA2" s="217"/>
      <c r="AB2" s="217"/>
      <c r="AC2" s="217"/>
      <c r="AD2" s="217"/>
      <c r="AE2" s="217"/>
      <c r="AF2" s="217"/>
      <c r="AG2" s="217"/>
      <c r="AH2" s="217"/>
      <c r="AI2" s="217"/>
      <c r="AJ2" s="217"/>
      <c r="AK2" s="217"/>
      <c r="AL2" s="217"/>
      <c r="AM2" s="220"/>
      <c r="AN2" s="220"/>
      <c r="AO2" s="217"/>
    </row>
    <row r="3" spans="1:41" ht="33.75" customHeight="1">
      <c r="A3" s="1">
        <v>1</v>
      </c>
      <c r="B3" s="1" t="s">
        <v>6</v>
      </c>
      <c r="C3" s="1" t="s">
        <v>6</v>
      </c>
      <c r="D3" s="1">
        <v>1</v>
      </c>
      <c r="E3" s="14" t="s">
        <v>679</v>
      </c>
      <c r="F3" s="9" t="s">
        <v>675</v>
      </c>
      <c r="G3" s="9" t="s">
        <v>2508</v>
      </c>
      <c r="H3" s="1" t="s">
        <v>4166</v>
      </c>
      <c r="I3" s="1" t="s">
        <v>4127</v>
      </c>
      <c r="J3" s="63">
        <v>29104391</v>
      </c>
      <c r="K3" s="1" t="s">
        <v>2438</v>
      </c>
      <c r="L3" s="1">
        <v>3447000</v>
      </c>
      <c r="M3" s="1" t="s">
        <v>3735</v>
      </c>
      <c r="N3" s="1" t="s">
        <v>4181</v>
      </c>
      <c r="O3" s="1">
        <v>3428</v>
      </c>
      <c r="P3" s="64">
        <v>43073</v>
      </c>
      <c r="Q3" s="64">
        <v>46724</v>
      </c>
      <c r="R3" s="62" t="s">
        <v>2440</v>
      </c>
      <c r="S3" s="29" t="s">
        <v>2441</v>
      </c>
      <c r="T3" s="9" t="s">
        <v>2444</v>
      </c>
      <c r="U3" s="9" t="s">
        <v>3157</v>
      </c>
      <c r="V3" s="9" t="s">
        <v>676</v>
      </c>
      <c r="W3" s="9">
        <v>2721</v>
      </c>
      <c r="X3" s="60">
        <v>86565.18</v>
      </c>
      <c r="Y3" s="60">
        <v>94307.76</v>
      </c>
      <c r="Z3" s="2" t="s">
        <v>4046</v>
      </c>
      <c r="AA3" s="67"/>
      <c r="AB3" s="2"/>
      <c r="AC3" s="2"/>
      <c r="AD3" s="2"/>
      <c r="AE3" s="49"/>
      <c r="AF3" s="2"/>
      <c r="AG3" s="43"/>
      <c r="AH3" s="43"/>
      <c r="AI3" s="2"/>
      <c r="AJ3" s="1"/>
      <c r="AK3" s="1"/>
      <c r="AL3" s="1"/>
      <c r="AM3" s="117">
        <f>AVERAGE(AM4:AM5)</f>
        <v>310.04591616</v>
      </c>
      <c r="AN3" s="117">
        <f>AVERAGE(AN4:AN5)</f>
        <v>301.283639424</v>
      </c>
      <c r="AO3" s="13" t="s">
        <v>2405</v>
      </c>
    </row>
    <row r="4" spans="1:41" ht="32.25" customHeight="1">
      <c r="A4" s="1"/>
      <c r="B4" s="1"/>
      <c r="C4" s="1"/>
      <c r="D4" s="1"/>
      <c r="E4" s="14"/>
      <c r="F4" s="9"/>
      <c r="G4" s="9"/>
      <c r="H4" s="1"/>
      <c r="I4" s="1"/>
      <c r="J4" s="63"/>
      <c r="K4" s="1"/>
      <c r="L4" s="1"/>
      <c r="M4" s="1"/>
      <c r="N4" s="1"/>
      <c r="O4" s="1"/>
      <c r="P4" s="64"/>
      <c r="Q4" s="64"/>
      <c r="R4" s="62"/>
      <c r="S4" s="29"/>
      <c r="T4" s="9"/>
      <c r="U4" s="9"/>
      <c r="V4" s="9"/>
      <c r="W4" s="9"/>
      <c r="X4" s="60"/>
      <c r="Y4" s="60"/>
      <c r="Z4" s="2" t="s">
        <v>3753</v>
      </c>
      <c r="AA4" s="67">
        <v>43615</v>
      </c>
      <c r="AB4" s="2" t="s">
        <v>2412</v>
      </c>
      <c r="AC4" s="2">
        <v>140</v>
      </c>
      <c r="AD4" s="2">
        <v>187</v>
      </c>
      <c r="AE4" s="49">
        <f>(0.112+0.055+0.109+0.068+0.133)/5</f>
        <v>0.09540000000000001</v>
      </c>
      <c r="AF4" s="2">
        <v>24</v>
      </c>
      <c r="AG4" s="102">
        <f>AE4*AC4*AF4*0.0036</f>
        <v>1.1539584</v>
      </c>
      <c r="AH4" s="102">
        <f>AE4*AD4*AF4*0.0036</f>
        <v>1.5413587200000003</v>
      </c>
      <c r="AI4" s="2">
        <v>30</v>
      </c>
      <c r="AJ4" s="1">
        <v>12</v>
      </c>
      <c r="AK4" s="1">
        <v>0.68</v>
      </c>
      <c r="AL4" s="1">
        <v>0.69</v>
      </c>
      <c r="AM4" s="127">
        <f>AG4*AI4*AJ4*AK4</f>
        <v>282.48901632</v>
      </c>
      <c r="AN4" s="128">
        <f>AH4*AI4*AJ4*AL4</f>
        <v>382.873506048</v>
      </c>
      <c r="AO4" s="13"/>
    </row>
    <row r="5" spans="1:41" ht="39.75" customHeight="1">
      <c r="A5" s="1"/>
      <c r="B5" s="1"/>
      <c r="C5" s="1"/>
      <c r="D5" s="1"/>
      <c r="E5" s="14"/>
      <c r="F5" s="9"/>
      <c r="G5" s="9"/>
      <c r="H5" s="1"/>
      <c r="I5" s="1"/>
      <c r="J5" s="63"/>
      <c r="K5" s="1"/>
      <c r="L5" s="1"/>
      <c r="M5" s="1"/>
      <c r="N5" s="1"/>
      <c r="O5" s="1"/>
      <c r="P5" s="64"/>
      <c r="Q5" s="64"/>
      <c r="R5" s="62"/>
      <c r="S5" s="29"/>
      <c r="T5" s="9"/>
      <c r="U5" s="9"/>
      <c r="V5" s="9"/>
      <c r="W5" s="9"/>
      <c r="X5" s="60"/>
      <c r="Y5" s="60"/>
      <c r="Z5" s="2" t="s">
        <v>4089</v>
      </c>
      <c r="AA5" s="67">
        <v>43754</v>
      </c>
      <c r="AB5" s="2" t="s">
        <v>3800</v>
      </c>
      <c r="AC5" s="2">
        <v>67</v>
      </c>
      <c r="AD5" s="2">
        <v>43.6</v>
      </c>
      <c r="AE5" s="49">
        <v>0.216</v>
      </c>
      <c r="AF5" s="2">
        <v>24</v>
      </c>
      <c r="AG5" s="102">
        <f>AE5*AC5*AF5*0.0036</f>
        <v>1.2503807999999998</v>
      </c>
      <c r="AH5" s="102">
        <f>AE5*AD5*AF5*0.0036</f>
        <v>0.81368064</v>
      </c>
      <c r="AI5" s="2">
        <v>30</v>
      </c>
      <c r="AJ5" s="1">
        <v>12</v>
      </c>
      <c r="AK5" s="1">
        <v>0.75</v>
      </c>
      <c r="AL5" s="1">
        <v>0.75</v>
      </c>
      <c r="AM5" s="127">
        <f>AG5*AI5*AJ5*AK5</f>
        <v>337.60281599999996</v>
      </c>
      <c r="AN5" s="128">
        <f>AH5*AI5*AJ5*AL5</f>
        <v>219.69377279999998</v>
      </c>
      <c r="AO5" s="13"/>
    </row>
    <row r="6" spans="1:41" ht="53.25" customHeight="1">
      <c r="A6" s="1">
        <v>2</v>
      </c>
      <c r="B6" s="1" t="s">
        <v>6</v>
      </c>
      <c r="C6" s="1" t="s">
        <v>6</v>
      </c>
      <c r="D6" s="1">
        <v>1</v>
      </c>
      <c r="E6" s="14" t="s">
        <v>681</v>
      </c>
      <c r="F6" s="9" t="s">
        <v>677</v>
      </c>
      <c r="G6" s="9" t="s">
        <v>2508</v>
      </c>
      <c r="H6" s="1" t="s">
        <v>4166</v>
      </c>
      <c r="I6" s="1" t="s">
        <v>4127</v>
      </c>
      <c r="J6" s="63">
        <v>29104391</v>
      </c>
      <c r="K6" s="1" t="s">
        <v>2438</v>
      </c>
      <c r="L6" s="1">
        <v>3447000</v>
      </c>
      <c r="M6" s="1" t="s">
        <v>3735</v>
      </c>
      <c r="N6" s="1" t="s">
        <v>4181</v>
      </c>
      <c r="O6" s="1">
        <v>3428</v>
      </c>
      <c r="P6" s="64">
        <v>43073</v>
      </c>
      <c r="Q6" s="64">
        <v>46724</v>
      </c>
      <c r="R6" s="62" t="s">
        <v>2440</v>
      </c>
      <c r="S6" s="29" t="s">
        <v>2441</v>
      </c>
      <c r="T6" s="9" t="s">
        <v>2444</v>
      </c>
      <c r="U6" s="9" t="s">
        <v>3158</v>
      </c>
      <c r="V6" s="9" t="s">
        <v>678</v>
      </c>
      <c r="W6" s="9">
        <v>2721</v>
      </c>
      <c r="X6" s="60">
        <v>86563.34</v>
      </c>
      <c r="Y6" s="60">
        <v>94370.98</v>
      </c>
      <c r="Z6" s="2" t="s">
        <v>3753</v>
      </c>
      <c r="AA6" s="67">
        <v>43615</v>
      </c>
      <c r="AB6" s="2" t="s">
        <v>2408</v>
      </c>
      <c r="AC6" s="82">
        <v>2</v>
      </c>
      <c r="AD6" s="82">
        <v>20</v>
      </c>
      <c r="AE6" s="82">
        <f>(0.111+0.11+0.089+0.07+0.093)/5</f>
        <v>0.09459999999999999</v>
      </c>
      <c r="AF6" s="82">
        <v>24</v>
      </c>
      <c r="AG6" s="102">
        <f>AE6*AC6*AF6*0.0036</f>
        <v>0.016346879999999998</v>
      </c>
      <c r="AH6" s="102">
        <f>AE6*AD6*AF6*0.0036</f>
        <v>0.1634688</v>
      </c>
      <c r="AI6" s="2">
        <v>30</v>
      </c>
      <c r="AJ6" s="1">
        <v>12</v>
      </c>
      <c r="AK6" s="1">
        <v>0.68</v>
      </c>
      <c r="AL6" s="1">
        <v>0.69</v>
      </c>
      <c r="AM6" s="117">
        <f>AG6*AI6*AJ6*AK6</f>
        <v>4.001716224</v>
      </c>
      <c r="AN6" s="118">
        <f>AH6*AI6*AJ6*AL6</f>
        <v>40.60564992</v>
      </c>
      <c r="AO6" s="13" t="s">
        <v>2405</v>
      </c>
    </row>
    <row r="7" spans="1:41" ht="70.5" customHeight="1">
      <c r="A7" s="1">
        <v>3</v>
      </c>
      <c r="B7" s="1" t="s">
        <v>6</v>
      </c>
      <c r="C7" s="1" t="s">
        <v>6</v>
      </c>
      <c r="D7" s="1">
        <v>1</v>
      </c>
      <c r="E7" s="14" t="s">
        <v>680</v>
      </c>
      <c r="F7" s="9" t="s">
        <v>683</v>
      </c>
      <c r="G7" s="9" t="s">
        <v>2508</v>
      </c>
      <c r="H7" s="1" t="s">
        <v>4166</v>
      </c>
      <c r="I7" s="1" t="s">
        <v>4127</v>
      </c>
      <c r="J7" s="63">
        <v>29104391</v>
      </c>
      <c r="K7" s="1" t="s">
        <v>2438</v>
      </c>
      <c r="L7" s="1">
        <v>3447000</v>
      </c>
      <c r="M7" s="1" t="s">
        <v>3735</v>
      </c>
      <c r="N7" s="1" t="s">
        <v>4181</v>
      </c>
      <c r="O7" s="1">
        <v>3428</v>
      </c>
      <c r="P7" s="64">
        <v>43073</v>
      </c>
      <c r="Q7" s="64">
        <v>46724</v>
      </c>
      <c r="R7" s="62" t="s">
        <v>2440</v>
      </c>
      <c r="S7" s="29" t="s">
        <v>2441</v>
      </c>
      <c r="T7" s="9" t="s">
        <v>2444</v>
      </c>
      <c r="U7" s="9" t="s">
        <v>3159</v>
      </c>
      <c r="V7" s="9" t="s">
        <v>682</v>
      </c>
      <c r="W7" s="9">
        <v>2719</v>
      </c>
      <c r="X7" s="60">
        <v>86686.57</v>
      </c>
      <c r="Y7" s="60">
        <v>94447.77</v>
      </c>
      <c r="Z7" s="2" t="s">
        <v>4090</v>
      </c>
      <c r="AA7" s="83">
        <v>43754</v>
      </c>
      <c r="AB7" s="2" t="s">
        <v>2479</v>
      </c>
      <c r="AC7" s="2">
        <v>51</v>
      </c>
      <c r="AD7" s="2">
        <v>36</v>
      </c>
      <c r="AE7" s="49">
        <v>0.126</v>
      </c>
      <c r="AF7" s="2">
        <v>24</v>
      </c>
      <c r="AG7" s="43">
        <f>AE7*AC7*AF7*0.0036</f>
        <v>0.5552064</v>
      </c>
      <c r="AH7" s="43">
        <f>AE7*AD7*AF7*0.0036</f>
        <v>0.39191039999999994</v>
      </c>
      <c r="AI7" s="2">
        <v>30</v>
      </c>
      <c r="AJ7" s="1">
        <v>12</v>
      </c>
      <c r="AK7" s="1">
        <v>0.73</v>
      </c>
      <c r="AL7" s="1">
        <v>0.79</v>
      </c>
      <c r="AM7" s="117">
        <f>AG7*AI7*AJ7*AK7</f>
        <v>145.90824192</v>
      </c>
      <c r="AN7" s="118">
        <f>AH7*AI7*AJ7*AL7</f>
        <v>111.45931775999999</v>
      </c>
      <c r="AO7" s="13" t="s">
        <v>2405</v>
      </c>
    </row>
    <row r="8" spans="1:41" ht="39" customHeight="1">
      <c r="A8" s="1">
        <v>4</v>
      </c>
      <c r="B8" s="1" t="s">
        <v>6</v>
      </c>
      <c r="C8" s="1" t="s">
        <v>6</v>
      </c>
      <c r="D8" s="1">
        <v>1</v>
      </c>
      <c r="E8" s="14" t="s">
        <v>684</v>
      </c>
      <c r="F8" s="9" t="s">
        <v>687</v>
      </c>
      <c r="G8" s="9" t="s">
        <v>2508</v>
      </c>
      <c r="H8" s="1" t="s">
        <v>4166</v>
      </c>
      <c r="I8" s="1" t="s">
        <v>4127</v>
      </c>
      <c r="J8" s="63">
        <v>29104391</v>
      </c>
      <c r="K8" s="1" t="s">
        <v>2438</v>
      </c>
      <c r="L8" s="1">
        <v>3447000</v>
      </c>
      <c r="M8" s="1" t="s">
        <v>3735</v>
      </c>
      <c r="N8" s="1" t="s">
        <v>4181</v>
      </c>
      <c r="O8" s="1">
        <v>3428</v>
      </c>
      <c r="P8" s="64">
        <v>43073</v>
      </c>
      <c r="Q8" s="64">
        <v>46724</v>
      </c>
      <c r="R8" s="62" t="s">
        <v>2440</v>
      </c>
      <c r="S8" s="85" t="s">
        <v>2441</v>
      </c>
      <c r="T8" s="9" t="s">
        <v>2447</v>
      </c>
      <c r="U8" s="9" t="s">
        <v>3160</v>
      </c>
      <c r="V8" s="9" t="s">
        <v>3161</v>
      </c>
      <c r="W8" s="9">
        <v>2711</v>
      </c>
      <c r="X8" s="60">
        <v>86788.28</v>
      </c>
      <c r="Y8" s="60">
        <v>94523.95</v>
      </c>
      <c r="Z8" s="2" t="s">
        <v>3753</v>
      </c>
      <c r="AA8" s="83">
        <v>43654</v>
      </c>
      <c r="AB8" s="2" t="s">
        <v>2412</v>
      </c>
      <c r="AC8" s="2">
        <v>318</v>
      </c>
      <c r="AD8" s="2">
        <v>432</v>
      </c>
      <c r="AE8" s="49">
        <f>(0.113+0.112+0.125+0.155+0.116)/5</f>
        <v>0.1242</v>
      </c>
      <c r="AF8" s="2">
        <v>24</v>
      </c>
      <c r="AG8" s="102">
        <f>AE8*AC8*AF8*0.0036</f>
        <v>3.4124198400000005</v>
      </c>
      <c r="AH8" s="102">
        <f>AE8*AD8*AF8*0.0036</f>
        <v>4.63574016</v>
      </c>
      <c r="AI8" s="2">
        <v>30</v>
      </c>
      <c r="AJ8" s="1">
        <v>12</v>
      </c>
      <c r="AK8" s="1">
        <v>0.68</v>
      </c>
      <c r="AL8" s="1">
        <v>0.69</v>
      </c>
      <c r="AM8" s="44">
        <f>AG8*AI8*AJ8*AK8</f>
        <v>835.3603768320002</v>
      </c>
      <c r="AN8" s="45">
        <f>AH8*AI8*AJ8*AL8</f>
        <v>1151.517855744</v>
      </c>
      <c r="AO8" s="2" t="s">
        <v>2405</v>
      </c>
    </row>
    <row r="9" spans="1:41" ht="30" customHeight="1">
      <c r="A9" s="1">
        <v>5</v>
      </c>
      <c r="B9" s="1" t="s">
        <v>6</v>
      </c>
      <c r="C9" s="1" t="s">
        <v>6</v>
      </c>
      <c r="D9" s="1">
        <v>1</v>
      </c>
      <c r="E9" s="14" t="s">
        <v>685</v>
      </c>
      <c r="F9" s="9" t="s">
        <v>688</v>
      </c>
      <c r="G9" s="9" t="s">
        <v>2508</v>
      </c>
      <c r="H9" s="1" t="s">
        <v>4166</v>
      </c>
      <c r="I9" s="1" t="s">
        <v>4127</v>
      </c>
      <c r="J9" s="63">
        <v>29104391</v>
      </c>
      <c r="K9" s="1" t="s">
        <v>2438</v>
      </c>
      <c r="L9" s="1">
        <v>3447000</v>
      </c>
      <c r="M9" s="1" t="s">
        <v>3735</v>
      </c>
      <c r="N9" s="1" t="s">
        <v>4181</v>
      </c>
      <c r="O9" s="1">
        <v>3428</v>
      </c>
      <c r="P9" s="64">
        <v>43073</v>
      </c>
      <c r="Q9" s="64">
        <v>46724</v>
      </c>
      <c r="R9" s="62" t="s">
        <v>2440</v>
      </c>
      <c r="S9" s="85" t="s">
        <v>2441</v>
      </c>
      <c r="T9" s="9" t="s">
        <v>2447</v>
      </c>
      <c r="U9" s="9" t="s">
        <v>3162</v>
      </c>
      <c r="V9" s="9" t="s">
        <v>690</v>
      </c>
      <c r="W9" s="9">
        <v>2708</v>
      </c>
      <c r="X9" s="60">
        <v>86881.09</v>
      </c>
      <c r="Y9" s="60">
        <v>94612.46</v>
      </c>
      <c r="Z9" s="2" t="s">
        <v>3802</v>
      </c>
      <c r="AA9" s="13"/>
      <c r="AB9" s="13"/>
      <c r="AC9" s="2"/>
      <c r="AD9" s="2"/>
      <c r="AE9" s="49"/>
      <c r="AF9" s="2"/>
      <c r="AG9" s="43"/>
      <c r="AH9" s="43"/>
      <c r="AI9" s="2"/>
      <c r="AJ9" s="1"/>
      <c r="AK9" s="1"/>
      <c r="AL9" s="1"/>
      <c r="AM9" s="44">
        <f aca="true" t="shared" si="0" ref="AM9:AM51">AG9*AI9*AJ9*AK9</f>
        <v>0</v>
      </c>
      <c r="AN9" s="45">
        <f aca="true" t="shared" si="1" ref="AN9:AN51">AH9*AI9*AJ9*AL9</f>
        <v>0</v>
      </c>
      <c r="AO9" s="2" t="s">
        <v>2405</v>
      </c>
    </row>
    <row r="10" spans="1:41" ht="25.5">
      <c r="A10" s="1">
        <v>6</v>
      </c>
      <c r="B10" s="1" t="s">
        <v>6</v>
      </c>
      <c r="C10" s="1" t="s">
        <v>6</v>
      </c>
      <c r="D10" s="1">
        <v>1</v>
      </c>
      <c r="E10" s="14" t="s">
        <v>686</v>
      </c>
      <c r="F10" s="9" t="s">
        <v>689</v>
      </c>
      <c r="G10" s="9" t="s">
        <v>2508</v>
      </c>
      <c r="H10" s="1" t="s">
        <v>4166</v>
      </c>
      <c r="I10" s="1" t="s">
        <v>4127</v>
      </c>
      <c r="J10" s="63">
        <v>29104391</v>
      </c>
      <c r="K10" s="1" t="s">
        <v>2438</v>
      </c>
      <c r="L10" s="1">
        <v>3447000</v>
      </c>
      <c r="M10" s="1" t="s">
        <v>3735</v>
      </c>
      <c r="N10" s="1" t="s">
        <v>4181</v>
      </c>
      <c r="O10" s="1">
        <v>3428</v>
      </c>
      <c r="P10" s="64">
        <v>43073</v>
      </c>
      <c r="Q10" s="64">
        <v>46724</v>
      </c>
      <c r="R10" s="62" t="s">
        <v>2440</v>
      </c>
      <c r="S10" s="85" t="s">
        <v>2441</v>
      </c>
      <c r="T10" s="9" t="s">
        <v>2480</v>
      </c>
      <c r="U10" s="9" t="s">
        <v>3163</v>
      </c>
      <c r="V10" s="9" t="s">
        <v>691</v>
      </c>
      <c r="W10" s="9">
        <v>2713</v>
      </c>
      <c r="X10" s="13">
        <v>86970.213</v>
      </c>
      <c r="Y10" s="13">
        <v>94757.41</v>
      </c>
      <c r="Z10" s="2" t="s">
        <v>3741</v>
      </c>
      <c r="AA10" s="13"/>
      <c r="AB10" s="13"/>
      <c r="AC10" s="2"/>
      <c r="AD10" s="2"/>
      <c r="AE10" s="49"/>
      <c r="AF10" s="2"/>
      <c r="AG10" s="43"/>
      <c r="AH10" s="43"/>
      <c r="AI10" s="2"/>
      <c r="AJ10" s="1"/>
      <c r="AK10" s="1"/>
      <c r="AL10" s="1"/>
      <c r="AM10" s="44">
        <f t="shared" si="0"/>
        <v>0</v>
      </c>
      <c r="AN10" s="45">
        <f t="shared" si="1"/>
        <v>0</v>
      </c>
      <c r="AO10" s="13"/>
    </row>
    <row r="11" spans="1:41" ht="54.75" customHeight="1">
      <c r="A11" s="1">
        <v>7</v>
      </c>
      <c r="B11" s="1" t="s">
        <v>6</v>
      </c>
      <c r="C11" s="1" t="s">
        <v>6</v>
      </c>
      <c r="D11" s="1">
        <v>1</v>
      </c>
      <c r="E11" s="14" t="s">
        <v>692</v>
      </c>
      <c r="F11" s="9" t="s">
        <v>695</v>
      </c>
      <c r="G11" s="9" t="s">
        <v>2508</v>
      </c>
      <c r="H11" s="1" t="s">
        <v>4166</v>
      </c>
      <c r="I11" s="1" t="s">
        <v>4127</v>
      </c>
      <c r="J11" s="63">
        <v>29104391</v>
      </c>
      <c r="K11" s="1" t="s">
        <v>2438</v>
      </c>
      <c r="L11" s="1">
        <v>3447000</v>
      </c>
      <c r="M11" s="1" t="s">
        <v>3735</v>
      </c>
      <c r="N11" s="1" t="s">
        <v>4181</v>
      </c>
      <c r="O11" s="1">
        <v>3428</v>
      </c>
      <c r="P11" s="64">
        <v>43073</v>
      </c>
      <c r="Q11" s="64">
        <v>46724</v>
      </c>
      <c r="R11" s="62" t="s">
        <v>2440</v>
      </c>
      <c r="S11" s="29" t="s">
        <v>2441</v>
      </c>
      <c r="T11" s="9" t="s">
        <v>2444</v>
      </c>
      <c r="U11" s="9" t="s">
        <v>3164</v>
      </c>
      <c r="V11" s="9" t="s">
        <v>694</v>
      </c>
      <c r="W11" s="9">
        <v>2711</v>
      </c>
      <c r="X11" s="60">
        <v>87119.56</v>
      </c>
      <c r="Y11" s="60">
        <v>94889.71</v>
      </c>
      <c r="Z11" s="2" t="s">
        <v>3801</v>
      </c>
      <c r="AA11" s="83">
        <v>43278</v>
      </c>
      <c r="AB11" s="13"/>
      <c r="AC11" s="93"/>
      <c r="AD11" s="93"/>
      <c r="AE11" s="93"/>
      <c r="AF11" s="93"/>
      <c r="AG11" s="93"/>
      <c r="AH11" s="93"/>
      <c r="AI11" s="93"/>
      <c r="AJ11" s="93"/>
      <c r="AK11" s="93"/>
      <c r="AL11" s="93"/>
      <c r="AM11" s="117">
        <f t="shared" si="0"/>
        <v>0</v>
      </c>
      <c r="AN11" s="118">
        <f t="shared" si="1"/>
        <v>0</v>
      </c>
      <c r="AO11" s="2" t="s">
        <v>2405</v>
      </c>
    </row>
    <row r="12" spans="1:41" ht="25.5">
      <c r="A12" s="1">
        <v>8</v>
      </c>
      <c r="B12" s="1" t="s">
        <v>6</v>
      </c>
      <c r="C12" s="1" t="s">
        <v>6</v>
      </c>
      <c r="D12" s="1">
        <v>1</v>
      </c>
      <c r="E12" s="14" t="s">
        <v>693</v>
      </c>
      <c r="F12" s="9" t="s">
        <v>696</v>
      </c>
      <c r="G12" s="9" t="s">
        <v>2508</v>
      </c>
      <c r="H12" s="1" t="s">
        <v>4166</v>
      </c>
      <c r="I12" s="1" t="s">
        <v>4127</v>
      </c>
      <c r="J12" s="63">
        <v>29104391</v>
      </c>
      <c r="K12" s="1" t="s">
        <v>2438</v>
      </c>
      <c r="L12" s="1">
        <v>3447000</v>
      </c>
      <c r="M12" s="1" t="s">
        <v>3735</v>
      </c>
      <c r="N12" s="1" t="s">
        <v>4181</v>
      </c>
      <c r="O12" s="1">
        <v>3428</v>
      </c>
      <c r="P12" s="64">
        <v>43073</v>
      </c>
      <c r="Q12" s="64">
        <v>46724</v>
      </c>
      <c r="R12" s="62" t="s">
        <v>2440</v>
      </c>
      <c r="S12" s="29" t="s">
        <v>2441</v>
      </c>
      <c r="T12" s="9" t="s">
        <v>2444</v>
      </c>
      <c r="U12" s="9" t="s">
        <v>3165</v>
      </c>
      <c r="V12" s="9" t="s">
        <v>3166</v>
      </c>
      <c r="W12" s="9">
        <v>2704</v>
      </c>
      <c r="X12" s="60">
        <v>87261.53</v>
      </c>
      <c r="Y12" s="60">
        <v>94931.34</v>
      </c>
      <c r="Z12" s="2" t="s">
        <v>3741</v>
      </c>
      <c r="AA12" s="13"/>
      <c r="AB12" s="13"/>
      <c r="AC12" s="2"/>
      <c r="AD12" s="2"/>
      <c r="AE12" s="49"/>
      <c r="AF12" s="2"/>
      <c r="AG12" s="43"/>
      <c r="AH12" s="43"/>
      <c r="AI12" s="2"/>
      <c r="AJ12" s="1"/>
      <c r="AK12" s="1"/>
      <c r="AL12" s="1"/>
      <c r="AM12" s="44">
        <f t="shared" si="0"/>
        <v>0</v>
      </c>
      <c r="AN12" s="45">
        <f t="shared" si="1"/>
        <v>0</v>
      </c>
      <c r="AO12" s="2" t="s">
        <v>2405</v>
      </c>
    </row>
    <row r="13" spans="1:41" ht="25.5">
      <c r="A13" s="1">
        <v>9</v>
      </c>
      <c r="B13" s="1" t="s">
        <v>6</v>
      </c>
      <c r="C13" s="1" t="s">
        <v>6</v>
      </c>
      <c r="D13" s="1">
        <v>1</v>
      </c>
      <c r="E13" s="14" t="s">
        <v>697</v>
      </c>
      <c r="F13" s="16" t="s">
        <v>699</v>
      </c>
      <c r="G13" s="9" t="s">
        <v>2508</v>
      </c>
      <c r="H13" s="1" t="s">
        <v>4166</v>
      </c>
      <c r="I13" s="1" t="s">
        <v>4127</v>
      </c>
      <c r="J13" s="63">
        <v>29104391</v>
      </c>
      <c r="K13" s="1" t="s">
        <v>2438</v>
      </c>
      <c r="L13" s="1">
        <v>3447000</v>
      </c>
      <c r="M13" s="1" t="s">
        <v>3735</v>
      </c>
      <c r="N13" s="1" t="s">
        <v>4181</v>
      </c>
      <c r="O13" s="1">
        <v>3428</v>
      </c>
      <c r="P13" s="64">
        <v>43073</v>
      </c>
      <c r="Q13" s="64">
        <v>46724</v>
      </c>
      <c r="R13" s="62" t="s">
        <v>2440</v>
      </c>
      <c r="S13" s="85" t="s">
        <v>2441</v>
      </c>
      <c r="T13" s="9" t="s">
        <v>2443</v>
      </c>
      <c r="U13" s="17" t="s">
        <v>3167</v>
      </c>
      <c r="V13" s="17" t="s">
        <v>3168</v>
      </c>
      <c r="W13" s="9">
        <v>2674</v>
      </c>
      <c r="X13" s="13">
        <v>87657.187</v>
      </c>
      <c r="Y13" s="13">
        <v>95225.885</v>
      </c>
      <c r="Z13" s="2" t="s">
        <v>3741</v>
      </c>
      <c r="AA13" s="13"/>
      <c r="AB13" s="13"/>
      <c r="AC13" s="2"/>
      <c r="AD13" s="2"/>
      <c r="AE13" s="49"/>
      <c r="AF13" s="2"/>
      <c r="AG13" s="43"/>
      <c r="AH13" s="43"/>
      <c r="AI13" s="2"/>
      <c r="AJ13" s="1"/>
      <c r="AK13" s="1"/>
      <c r="AL13" s="1"/>
      <c r="AM13" s="44">
        <f t="shared" si="0"/>
        <v>0</v>
      </c>
      <c r="AN13" s="45">
        <f t="shared" si="1"/>
        <v>0</v>
      </c>
      <c r="AO13" s="13"/>
    </row>
    <row r="14" spans="1:41" ht="25.5">
      <c r="A14" s="1">
        <v>10</v>
      </c>
      <c r="B14" s="1" t="s">
        <v>6</v>
      </c>
      <c r="C14" s="1" t="s">
        <v>6</v>
      </c>
      <c r="D14" s="1">
        <v>1</v>
      </c>
      <c r="E14" s="14" t="s">
        <v>698</v>
      </c>
      <c r="F14" s="16" t="s">
        <v>700</v>
      </c>
      <c r="G14" s="9" t="s">
        <v>2508</v>
      </c>
      <c r="H14" s="1" t="s">
        <v>4166</v>
      </c>
      <c r="I14" s="1" t="s">
        <v>4127</v>
      </c>
      <c r="J14" s="63">
        <v>29104391</v>
      </c>
      <c r="K14" s="1" t="s">
        <v>2438</v>
      </c>
      <c r="L14" s="1">
        <v>3447000</v>
      </c>
      <c r="M14" s="1" t="s">
        <v>3735</v>
      </c>
      <c r="N14" s="1" t="s">
        <v>4181</v>
      </c>
      <c r="O14" s="1">
        <v>3428</v>
      </c>
      <c r="P14" s="64">
        <v>43073</v>
      </c>
      <c r="Q14" s="64">
        <v>46724</v>
      </c>
      <c r="R14" s="62" t="s">
        <v>2440</v>
      </c>
      <c r="S14" s="85" t="s">
        <v>2441</v>
      </c>
      <c r="T14" s="9" t="s">
        <v>2443</v>
      </c>
      <c r="U14" s="17" t="s">
        <v>3169</v>
      </c>
      <c r="V14" s="17" t="s">
        <v>3170</v>
      </c>
      <c r="W14" s="9">
        <v>2668</v>
      </c>
      <c r="X14" s="13">
        <v>87901.301</v>
      </c>
      <c r="Y14" s="13">
        <v>95195.407</v>
      </c>
      <c r="Z14" s="2" t="s">
        <v>3741</v>
      </c>
      <c r="AA14" s="13"/>
      <c r="AB14" s="13"/>
      <c r="AC14" s="2"/>
      <c r="AD14" s="2"/>
      <c r="AE14" s="49"/>
      <c r="AF14" s="2"/>
      <c r="AG14" s="43"/>
      <c r="AH14" s="43"/>
      <c r="AI14" s="2"/>
      <c r="AJ14" s="1"/>
      <c r="AK14" s="1"/>
      <c r="AL14" s="1"/>
      <c r="AM14" s="44">
        <f t="shared" si="0"/>
        <v>0</v>
      </c>
      <c r="AN14" s="45">
        <f t="shared" si="1"/>
        <v>0</v>
      </c>
      <c r="AO14" s="13"/>
    </row>
    <row r="15" spans="1:41" ht="38.25">
      <c r="A15" s="1">
        <v>11</v>
      </c>
      <c r="B15" s="1" t="s">
        <v>6</v>
      </c>
      <c r="C15" s="1" t="s">
        <v>6</v>
      </c>
      <c r="D15" s="1">
        <v>1</v>
      </c>
      <c r="E15" s="1" t="s">
        <v>701</v>
      </c>
      <c r="F15" s="1" t="s">
        <v>1291</v>
      </c>
      <c r="G15" s="9" t="s">
        <v>2508</v>
      </c>
      <c r="H15" s="1" t="s">
        <v>4166</v>
      </c>
      <c r="I15" s="1" t="s">
        <v>4127</v>
      </c>
      <c r="J15" s="63">
        <v>29104391</v>
      </c>
      <c r="K15" s="1" t="s">
        <v>2438</v>
      </c>
      <c r="L15" s="1">
        <v>3447000</v>
      </c>
      <c r="M15" s="1" t="s">
        <v>3735</v>
      </c>
      <c r="N15" s="1" t="s">
        <v>4181</v>
      </c>
      <c r="O15" s="1">
        <v>3428</v>
      </c>
      <c r="P15" s="64">
        <v>43073</v>
      </c>
      <c r="Q15" s="64">
        <v>46724</v>
      </c>
      <c r="R15" s="62" t="s">
        <v>2440</v>
      </c>
      <c r="S15" s="29" t="s">
        <v>2441</v>
      </c>
      <c r="T15" s="9" t="s">
        <v>2444</v>
      </c>
      <c r="U15" s="9" t="s">
        <v>3171</v>
      </c>
      <c r="V15" s="9" t="s">
        <v>702</v>
      </c>
      <c r="W15" s="9">
        <v>2657</v>
      </c>
      <c r="X15" s="60">
        <v>88367.8</v>
      </c>
      <c r="Y15" s="60">
        <v>95294.6</v>
      </c>
      <c r="Z15" s="2" t="s">
        <v>4146</v>
      </c>
      <c r="AA15" s="67"/>
      <c r="AB15" s="2"/>
      <c r="AC15" s="2"/>
      <c r="AD15" s="2"/>
      <c r="AE15" s="49"/>
      <c r="AF15" s="2"/>
      <c r="AG15" s="43"/>
      <c r="AH15" s="43"/>
      <c r="AI15" s="2"/>
      <c r="AJ15" s="1"/>
      <c r="AK15" s="1"/>
      <c r="AL15" s="1"/>
      <c r="AM15" s="117">
        <v>3249.0613704659586</v>
      </c>
      <c r="AN15" s="118">
        <v>2769.8491753344806</v>
      </c>
      <c r="AO15" s="13" t="s">
        <v>2405</v>
      </c>
    </row>
    <row r="16" spans="1:41" ht="25.5">
      <c r="A16" s="1">
        <v>12</v>
      </c>
      <c r="B16" s="1" t="s">
        <v>6</v>
      </c>
      <c r="C16" s="1" t="s">
        <v>6</v>
      </c>
      <c r="D16" s="1">
        <v>1</v>
      </c>
      <c r="E16" s="1" t="s">
        <v>704</v>
      </c>
      <c r="F16" s="1" t="s">
        <v>705</v>
      </c>
      <c r="G16" s="9" t="s">
        <v>2508</v>
      </c>
      <c r="H16" s="1" t="s">
        <v>4166</v>
      </c>
      <c r="I16" s="1" t="s">
        <v>4127</v>
      </c>
      <c r="J16" s="63">
        <v>29104391</v>
      </c>
      <c r="K16" s="1" t="s">
        <v>2438</v>
      </c>
      <c r="L16" s="1">
        <v>3447000</v>
      </c>
      <c r="M16" s="1" t="s">
        <v>3735</v>
      </c>
      <c r="N16" s="1" t="s">
        <v>4181</v>
      </c>
      <c r="O16" s="1">
        <v>3428</v>
      </c>
      <c r="P16" s="64">
        <v>43073</v>
      </c>
      <c r="Q16" s="64">
        <v>46724</v>
      </c>
      <c r="R16" s="62" t="s">
        <v>2440</v>
      </c>
      <c r="S16" s="29" t="s">
        <v>2441</v>
      </c>
      <c r="T16" s="9" t="s">
        <v>2444</v>
      </c>
      <c r="U16" s="9" t="s">
        <v>3172</v>
      </c>
      <c r="V16" s="9" t="s">
        <v>703</v>
      </c>
      <c r="W16" s="9">
        <v>2646</v>
      </c>
      <c r="X16" s="60">
        <v>88836.42</v>
      </c>
      <c r="Y16" s="60">
        <v>95142.85</v>
      </c>
      <c r="Z16" s="2" t="s">
        <v>3741</v>
      </c>
      <c r="AA16" s="67"/>
      <c r="AB16" s="89"/>
      <c r="AC16" s="130"/>
      <c r="AD16" s="131"/>
      <c r="AE16" s="131"/>
      <c r="AF16" s="131"/>
      <c r="AG16" s="131"/>
      <c r="AH16" s="131"/>
      <c r="AI16" s="131"/>
      <c r="AJ16" s="131"/>
      <c r="AK16" s="131"/>
      <c r="AL16" s="132"/>
      <c r="AM16" s="117">
        <f t="shared" si="0"/>
        <v>0</v>
      </c>
      <c r="AN16" s="118">
        <f t="shared" si="1"/>
        <v>0</v>
      </c>
      <c r="AO16" s="13" t="s">
        <v>2405</v>
      </c>
    </row>
    <row r="17" spans="1:41" ht="25.5">
      <c r="A17" s="1">
        <v>13</v>
      </c>
      <c r="B17" s="1" t="s">
        <v>6</v>
      </c>
      <c r="C17" s="1" t="s">
        <v>6</v>
      </c>
      <c r="D17" s="1">
        <v>1</v>
      </c>
      <c r="E17" s="14" t="s">
        <v>709</v>
      </c>
      <c r="F17" s="1" t="s">
        <v>2236</v>
      </c>
      <c r="G17" s="9" t="s">
        <v>2508</v>
      </c>
      <c r="H17" s="1" t="s">
        <v>4166</v>
      </c>
      <c r="I17" s="1" t="s">
        <v>4127</v>
      </c>
      <c r="J17" s="63">
        <v>29104391</v>
      </c>
      <c r="K17" s="1" t="s">
        <v>2438</v>
      </c>
      <c r="L17" s="1">
        <v>3447000</v>
      </c>
      <c r="M17" s="1" t="s">
        <v>3735</v>
      </c>
      <c r="N17" s="1" t="s">
        <v>4181</v>
      </c>
      <c r="O17" s="1">
        <v>3428</v>
      </c>
      <c r="P17" s="64">
        <v>43073</v>
      </c>
      <c r="Q17" s="64">
        <v>46724</v>
      </c>
      <c r="R17" s="62" t="s">
        <v>2440</v>
      </c>
      <c r="S17" s="85" t="s">
        <v>2441</v>
      </c>
      <c r="T17" s="9" t="s">
        <v>2443</v>
      </c>
      <c r="U17" s="17" t="s">
        <v>710</v>
      </c>
      <c r="V17" s="17" t="s">
        <v>3173</v>
      </c>
      <c r="W17" s="9">
        <v>2643</v>
      </c>
      <c r="X17" s="13">
        <v>89059.095</v>
      </c>
      <c r="Y17" s="13">
        <v>95172.298</v>
      </c>
      <c r="Z17" s="2" t="s">
        <v>3741</v>
      </c>
      <c r="AA17" s="67"/>
      <c r="AB17" s="89"/>
      <c r="AC17" s="13"/>
      <c r="AD17" s="13"/>
      <c r="AE17" s="90"/>
      <c r="AF17" s="2"/>
      <c r="AG17" s="43"/>
      <c r="AH17" s="43"/>
      <c r="AI17" s="2"/>
      <c r="AJ17" s="1"/>
      <c r="AK17" s="1"/>
      <c r="AL17" s="1"/>
      <c r="AM17" s="44">
        <f t="shared" si="0"/>
        <v>0</v>
      </c>
      <c r="AN17" s="45">
        <f t="shared" si="1"/>
        <v>0</v>
      </c>
      <c r="AO17" s="13"/>
    </row>
    <row r="18" spans="1:41" ht="39" customHeight="1">
      <c r="A18" s="1">
        <v>14</v>
      </c>
      <c r="B18" s="1" t="s">
        <v>6</v>
      </c>
      <c r="C18" s="1" t="s">
        <v>6</v>
      </c>
      <c r="D18" s="1">
        <v>1</v>
      </c>
      <c r="E18" s="1" t="s">
        <v>706</v>
      </c>
      <c r="F18" s="2" t="s">
        <v>707</v>
      </c>
      <c r="G18" s="9" t="s">
        <v>2508</v>
      </c>
      <c r="H18" s="1" t="s">
        <v>4166</v>
      </c>
      <c r="I18" s="1" t="s">
        <v>4127</v>
      </c>
      <c r="J18" s="63">
        <v>29104391</v>
      </c>
      <c r="K18" s="1" t="s">
        <v>2438</v>
      </c>
      <c r="L18" s="1">
        <v>3447000</v>
      </c>
      <c r="M18" s="1" t="s">
        <v>3735</v>
      </c>
      <c r="N18" s="1" t="s">
        <v>4181</v>
      </c>
      <c r="O18" s="1">
        <v>3428</v>
      </c>
      <c r="P18" s="64">
        <v>43073</v>
      </c>
      <c r="Q18" s="64">
        <v>46724</v>
      </c>
      <c r="R18" s="62" t="s">
        <v>2440</v>
      </c>
      <c r="S18" s="1" t="s">
        <v>2442</v>
      </c>
      <c r="T18" s="9" t="s">
        <v>2444</v>
      </c>
      <c r="U18" s="9" t="s">
        <v>3174</v>
      </c>
      <c r="V18" s="9" t="s">
        <v>708</v>
      </c>
      <c r="W18" s="9">
        <v>2638</v>
      </c>
      <c r="X18" s="60">
        <v>89120.98</v>
      </c>
      <c r="Y18" s="60">
        <v>95080.54</v>
      </c>
      <c r="Z18" s="2" t="s">
        <v>3804</v>
      </c>
      <c r="AA18" s="67">
        <v>43536</v>
      </c>
      <c r="AB18" s="89">
        <v>0.5034722222222222</v>
      </c>
      <c r="AC18" s="93"/>
      <c r="AD18" s="93"/>
      <c r="AE18" s="93"/>
      <c r="AF18" s="93"/>
      <c r="AG18" s="93"/>
      <c r="AH18" s="93"/>
      <c r="AI18" s="93"/>
      <c r="AJ18" s="93"/>
      <c r="AK18" s="93"/>
      <c r="AL18" s="93"/>
      <c r="AM18" s="117">
        <f t="shared" si="0"/>
        <v>0</v>
      </c>
      <c r="AN18" s="118">
        <f t="shared" si="1"/>
        <v>0</v>
      </c>
      <c r="AO18" s="13" t="s">
        <v>2405</v>
      </c>
    </row>
    <row r="19" spans="1:41" ht="12.75">
      <c r="A19" s="226" t="s">
        <v>2513</v>
      </c>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72">
        <v>0</v>
      </c>
      <c r="AN19" s="70">
        <v>0</v>
      </c>
      <c r="AO19" s="13"/>
    </row>
    <row r="20" spans="1:41" ht="12.75">
      <c r="A20" s="227" t="s">
        <v>2514</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73">
        <f>'Subcuencas río Tunjuelo'!AN21+'Subcuencas río Tunjuelo'!AN38+'Subcuencas río Tunjuelo'!AN45</f>
        <v>48647.246353919996</v>
      </c>
      <c r="AN20" s="73">
        <f>'Subcuencas río Tunjuelo'!AO21+'Subcuencas río Tunjuelo'!AO38+'Subcuencas río Tunjuelo'!AO45</f>
        <v>103619.37185510402</v>
      </c>
      <c r="AO20" s="13"/>
    </row>
    <row r="21" spans="1:41" ht="12.75">
      <c r="A21" s="226" t="s">
        <v>2414</v>
      </c>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119">
        <f>AM3+AM6+AM7+AM11+AM15+AM16+AM18</f>
        <v>3709.017244769959</v>
      </c>
      <c r="AN21" s="119">
        <f>AN3+AN6+AN7+AN11+AN15+AN16+AN18</f>
        <v>3223.1977824384808</v>
      </c>
      <c r="AO21" s="13"/>
    </row>
    <row r="22" spans="1:41" ht="12.75">
      <c r="A22" s="227" t="s">
        <v>2415</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73">
        <f>SUM(AM3:AM18)+AM20-AM4-AM5</f>
        <v>53191.62397552195</v>
      </c>
      <c r="AN22" s="73">
        <f>SUM(AN3:AN18)+AN20-AN4-AN5</f>
        <v>107994.0874932865</v>
      </c>
      <c r="AO22" s="13"/>
    </row>
    <row r="23" spans="1:41" ht="25.5">
      <c r="A23" s="1">
        <v>15</v>
      </c>
      <c r="B23" s="1" t="s">
        <v>6</v>
      </c>
      <c r="C23" s="1" t="s">
        <v>6</v>
      </c>
      <c r="D23" s="1">
        <v>2</v>
      </c>
      <c r="E23" s="14" t="s">
        <v>711</v>
      </c>
      <c r="F23" s="1" t="s">
        <v>2309</v>
      </c>
      <c r="G23" s="9" t="s">
        <v>2508</v>
      </c>
      <c r="H23" s="1" t="s">
        <v>4166</v>
      </c>
      <c r="I23" s="1" t="s">
        <v>4127</v>
      </c>
      <c r="J23" s="63">
        <v>29104391</v>
      </c>
      <c r="K23" s="1" t="s">
        <v>2438</v>
      </c>
      <c r="L23" s="1">
        <v>3447000</v>
      </c>
      <c r="M23" s="1" t="s">
        <v>3735</v>
      </c>
      <c r="N23" s="1" t="s">
        <v>4181</v>
      </c>
      <c r="O23" s="1">
        <v>3428</v>
      </c>
      <c r="P23" s="64">
        <v>43073</v>
      </c>
      <c r="Q23" s="64">
        <v>46724</v>
      </c>
      <c r="R23" s="62" t="s">
        <v>2440</v>
      </c>
      <c r="S23" s="85" t="s">
        <v>2441</v>
      </c>
      <c r="T23" s="9" t="s">
        <v>2443</v>
      </c>
      <c r="U23" s="18" t="s">
        <v>3175</v>
      </c>
      <c r="V23" s="18" t="s">
        <v>712</v>
      </c>
      <c r="W23" s="13">
        <v>2623</v>
      </c>
      <c r="X23" s="13">
        <v>89650.433</v>
      </c>
      <c r="Y23" s="13">
        <v>94524.799</v>
      </c>
      <c r="Z23" s="2" t="s">
        <v>3741</v>
      </c>
      <c r="AA23" s="13"/>
      <c r="AB23" s="13"/>
      <c r="AC23" s="2"/>
      <c r="AD23" s="2"/>
      <c r="AE23" s="49"/>
      <c r="AF23" s="2"/>
      <c r="AG23" s="43"/>
      <c r="AH23" s="43"/>
      <c r="AI23" s="2"/>
      <c r="AJ23" s="1"/>
      <c r="AK23" s="1"/>
      <c r="AL23" s="1"/>
      <c r="AM23" s="44">
        <f t="shared" si="0"/>
        <v>0</v>
      </c>
      <c r="AN23" s="45">
        <f t="shared" si="1"/>
        <v>0</v>
      </c>
      <c r="AO23" s="13"/>
    </row>
    <row r="24" spans="1:41" ht="33.75" customHeight="1">
      <c r="A24" s="1">
        <v>16</v>
      </c>
      <c r="B24" s="1" t="s">
        <v>6</v>
      </c>
      <c r="C24" s="1" t="s">
        <v>6</v>
      </c>
      <c r="D24" s="1">
        <v>2</v>
      </c>
      <c r="E24" s="1" t="s">
        <v>713</v>
      </c>
      <c r="F24" s="2" t="s">
        <v>714</v>
      </c>
      <c r="G24" s="9" t="s">
        <v>2508</v>
      </c>
      <c r="H24" s="1" t="s">
        <v>4166</v>
      </c>
      <c r="I24" s="1" t="s">
        <v>4127</v>
      </c>
      <c r="J24" s="63">
        <v>29104391</v>
      </c>
      <c r="K24" s="1" t="s">
        <v>2438</v>
      </c>
      <c r="L24" s="1">
        <v>3447000</v>
      </c>
      <c r="M24" s="1" t="s">
        <v>3735</v>
      </c>
      <c r="N24" s="1" t="s">
        <v>4181</v>
      </c>
      <c r="O24" s="1">
        <v>3428</v>
      </c>
      <c r="P24" s="64">
        <v>43073</v>
      </c>
      <c r="Q24" s="64">
        <v>46724</v>
      </c>
      <c r="R24" s="62" t="s">
        <v>2440</v>
      </c>
      <c r="S24" s="29" t="s">
        <v>2441</v>
      </c>
      <c r="T24" s="9" t="s">
        <v>2509</v>
      </c>
      <c r="U24" s="9" t="s">
        <v>3176</v>
      </c>
      <c r="V24" s="9" t="s">
        <v>715</v>
      </c>
      <c r="W24" s="9">
        <v>2600</v>
      </c>
      <c r="X24" s="60">
        <v>91221.02</v>
      </c>
      <c r="Y24" s="60">
        <v>94682.34</v>
      </c>
      <c r="Z24" s="2" t="s">
        <v>3753</v>
      </c>
      <c r="AA24" s="83">
        <v>43626</v>
      </c>
      <c r="AB24" s="13" t="s">
        <v>2406</v>
      </c>
      <c r="AC24" s="2">
        <v>78</v>
      </c>
      <c r="AD24" s="2">
        <v>118</v>
      </c>
      <c r="AE24" s="49">
        <f>(8.416+7.299+6.18+6.25+7.308)/5</f>
        <v>7.0906</v>
      </c>
      <c r="AF24" s="2">
        <v>24</v>
      </c>
      <c r="AG24" s="102">
        <f>AE24*AC24*AF24*0.0036</f>
        <v>47.784971520000006</v>
      </c>
      <c r="AH24" s="102">
        <f>AE24*AD24*AF24*0.0036</f>
        <v>72.29008512</v>
      </c>
      <c r="AI24" s="2">
        <v>30</v>
      </c>
      <c r="AJ24" s="1">
        <v>12</v>
      </c>
      <c r="AK24" s="1">
        <v>0.55</v>
      </c>
      <c r="AL24" s="1">
        <v>0.59</v>
      </c>
      <c r="AM24" s="117">
        <f>AG24*AI24*AJ24*AK24</f>
        <v>9461.424360960003</v>
      </c>
      <c r="AN24" s="118">
        <f>AH24*AI24*AJ24*AL24</f>
        <v>15354.414079488</v>
      </c>
      <c r="AO24" s="13" t="s">
        <v>2413</v>
      </c>
    </row>
    <row r="25" spans="1:41" ht="32.25" customHeight="1">
      <c r="A25" s="1">
        <v>17</v>
      </c>
      <c r="B25" s="1" t="s">
        <v>6</v>
      </c>
      <c r="C25" s="1" t="s">
        <v>6</v>
      </c>
      <c r="D25" s="1">
        <v>2</v>
      </c>
      <c r="E25" s="20" t="s">
        <v>716</v>
      </c>
      <c r="F25" s="2" t="s">
        <v>2088</v>
      </c>
      <c r="G25" s="9" t="s">
        <v>2508</v>
      </c>
      <c r="H25" s="1" t="s">
        <v>4166</v>
      </c>
      <c r="I25" s="1" t="s">
        <v>4127</v>
      </c>
      <c r="J25" s="63">
        <v>29104391</v>
      </c>
      <c r="K25" s="1" t="s">
        <v>2438</v>
      </c>
      <c r="L25" s="1">
        <v>3447000</v>
      </c>
      <c r="M25" s="1" t="s">
        <v>3735</v>
      </c>
      <c r="N25" s="1" t="s">
        <v>4181</v>
      </c>
      <c r="O25" s="1">
        <v>3428</v>
      </c>
      <c r="P25" s="64">
        <v>43073</v>
      </c>
      <c r="Q25" s="64">
        <v>46724</v>
      </c>
      <c r="R25" s="62" t="s">
        <v>2440</v>
      </c>
      <c r="S25" s="29" t="s">
        <v>2441</v>
      </c>
      <c r="T25" s="9" t="s">
        <v>2443</v>
      </c>
      <c r="U25" s="13" t="s">
        <v>44</v>
      </c>
      <c r="V25" s="13" t="s">
        <v>3177</v>
      </c>
      <c r="W25" s="13">
        <v>2605</v>
      </c>
      <c r="X25" s="60">
        <v>91610.06</v>
      </c>
      <c r="Y25" s="60">
        <v>94855.33</v>
      </c>
      <c r="Z25" s="2" t="s">
        <v>3753</v>
      </c>
      <c r="AA25" s="83">
        <v>43630</v>
      </c>
      <c r="AB25" s="89" t="s">
        <v>3805</v>
      </c>
      <c r="AC25" s="2">
        <v>163</v>
      </c>
      <c r="AD25" s="2">
        <v>955</v>
      </c>
      <c r="AE25" s="49">
        <f>(0.146+0.146+0.102+0.148+0.145)/5</f>
        <v>0.1374</v>
      </c>
      <c r="AF25" s="2">
        <v>24</v>
      </c>
      <c r="AG25" s="102">
        <f>AE25*AC25*AF25*0.0036</f>
        <v>1.9350316800000003</v>
      </c>
      <c r="AH25" s="102">
        <f>AE25*AD25*AF25*0.0036</f>
        <v>11.337148799999998</v>
      </c>
      <c r="AI25" s="2">
        <v>30</v>
      </c>
      <c r="AJ25" s="1">
        <v>12</v>
      </c>
      <c r="AK25" s="1">
        <v>0.58</v>
      </c>
      <c r="AL25" s="1">
        <v>0.59</v>
      </c>
      <c r="AM25" s="117">
        <f>AG25*AI25*AJ25*AK25</f>
        <v>404.034614784</v>
      </c>
      <c r="AN25" s="118">
        <f>AH25*AI25*AJ25*AL25</f>
        <v>2408.010405119999</v>
      </c>
      <c r="AO25" s="13" t="s">
        <v>2413</v>
      </c>
    </row>
    <row r="26" spans="1:41" ht="12.75">
      <c r="A26" s="226" t="s">
        <v>2491</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119">
        <f>'Subcuencas río Tunjuelo'!AN73</f>
        <v>300745.61003834626</v>
      </c>
      <c r="AN26" s="119">
        <f>'Subcuencas río Tunjuelo'!AO73</f>
        <v>119763.61868748369</v>
      </c>
      <c r="AO26" s="13"/>
    </row>
    <row r="27" spans="1:41" ht="12.75">
      <c r="A27" s="227" t="s">
        <v>2492</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73">
        <f>'Subcuencas río Tunjuelo'!AN74</f>
        <v>302248.19451194635</v>
      </c>
      <c r="AN27" s="73">
        <f>'Subcuencas río Tunjuelo'!AO74</f>
        <v>121509.0756346837</v>
      </c>
      <c r="AO27" s="13"/>
    </row>
    <row r="28" spans="1:41" ht="12.75">
      <c r="A28" s="226" t="s">
        <v>2414</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119">
        <f>AM24+AM25+AM26</f>
        <v>310611.0690140903</v>
      </c>
      <c r="AN28" s="119">
        <f>AN24+AN25+AN26</f>
        <v>137526.04317209168</v>
      </c>
      <c r="AO28" s="13"/>
    </row>
    <row r="29" spans="1:41" ht="12.75">
      <c r="A29" s="227" t="s">
        <v>2415</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73">
        <f>SUM(AM23:AM25)+AM27</f>
        <v>312113.6534876904</v>
      </c>
      <c r="AN29" s="73">
        <f>SUM(AN23:AN25)+AN27</f>
        <v>139271.5001192917</v>
      </c>
      <c r="AO29" s="13"/>
    </row>
    <row r="30" spans="1:41" ht="25.5">
      <c r="A30" s="1">
        <v>18</v>
      </c>
      <c r="B30" s="1" t="s">
        <v>6</v>
      </c>
      <c r="C30" s="1" t="s">
        <v>6</v>
      </c>
      <c r="D30" s="1">
        <v>3</v>
      </c>
      <c r="E30" s="14" t="s">
        <v>717</v>
      </c>
      <c r="F30" s="1" t="s">
        <v>719</v>
      </c>
      <c r="G30" s="1" t="s">
        <v>2508</v>
      </c>
      <c r="H30" s="1" t="s">
        <v>4166</v>
      </c>
      <c r="I30" s="1" t="s">
        <v>4127</v>
      </c>
      <c r="J30" s="63">
        <v>29104391</v>
      </c>
      <c r="K30" s="1" t="s">
        <v>2438</v>
      </c>
      <c r="L30" s="1">
        <v>3447000</v>
      </c>
      <c r="M30" s="1" t="s">
        <v>3735</v>
      </c>
      <c r="N30" s="1" t="s">
        <v>4181</v>
      </c>
      <c r="O30" s="1">
        <v>3428</v>
      </c>
      <c r="P30" s="64">
        <v>43073</v>
      </c>
      <c r="Q30" s="64">
        <v>46724</v>
      </c>
      <c r="R30" s="62" t="s">
        <v>2440</v>
      </c>
      <c r="S30" s="85" t="s">
        <v>2441</v>
      </c>
      <c r="T30" s="9" t="s">
        <v>2443</v>
      </c>
      <c r="U30" s="17" t="s">
        <v>718</v>
      </c>
      <c r="V30" s="17" t="s">
        <v>3178</v>
      </c>
      <c r="W30" s="13">
        <v>2580</v>
      </c>
      <c r="X30" s="13">
        <v>93223.668</v>
      </c>
      <c r="Y30" s="13">
        <v>94860.531</v>
      </c>
      <c r="Z30" s="2" t="s">
        <v>3741</v>
      </c>
      <c r="AA30" s="13"/>
      <c r="AB30" s="13"/>
      <c r="AC30" s="2"/>
      <c r="AD30" s="2"/>
      <c r="AE30" s="49"/>
      <c r="AF30" s="2"/>
      <c r="AG30" s="43"/>
      <c r="AH30" s="43"/>
      <c r="AI30" s="2"/>
      <c r="AJ30" s="1"/>
      <c r="AK30" s="1"/>
      <c r="AL30" s="1"/>
      <c r="AM30" s="44">
        <f t="shared" si="0"/>
        <v>0</v>
      </c>
      <c r="AN30" s="45">
        <f t="shared" si="1"/>
        <v>0</v>
      </c>
      <c r="AO30" s="13"/>
    </row>
    <row r="31" spans="1:41" ht="25.5">
      <c r="A31" s="1">
        <v>19</v>
      </c>
      <c r="B31" s="1" t="s">
        <v>6</v>
      </c>
      <c r="C31" s="1" t="s">
        <v>6</v>
      </c>
      <c r="D31" s="1">
        <v>3</v>
      </c>
      <c r="E31" s="14" t="s">
        <v>2239</v>
      </c>
      <c r="F31" s="16" t="s">
        <v>2310</v>
      </c>
      <c r="G31" s="16" t="s">
        <v>2510</v>
      </c>
      <c r="H31" s="1" t="s">
        <v>4166</v>
      </c>
      <c r="I31" s="1" t="s">
        <v>4127</v>
      </c>
      <c r="J31" s="63">
        <v>29104391</v>
      </c>
      <c r="K31" s="1" t="s">
        <v>2438</v>
      </c>
      <c r="L31" s="1">
        <v>3447000</v>
      </c>
      <c r="M31" s="1" t="s">
        <v>3735</v>
      </c>
      <c r="N31" s="1" t="s">
        <v>4181</v>
      </c>
      <c r="O31" s="1">
        <v>3428</v>
      </c>
      <c r="P31" s="64">
        <v>43073</v>
      </c>
      <c r="Q31" s="64">
        <v>46724</v>
      </c>
      <c r="R31" s="62" t="s">
        <v>2440</v>
      </c>
      <c r="S31" s="85" t="s">
        <v>2442</v>
      </c>
      <c r="T31" s="9" t="s">
        <v>2443</v>
      </c>
      <c r="U31" s="16" t="s">
        <v>3179</v>
      </c>
      <c r="V31" s="16" t="s">
        <v>721</v>
      </c>
      <c r="W31" s="13">
        <v>2569</v>
      </c>
      <c r="X31" s="13">
        <v>95431.861</v>
      </c>
      <c r="Y31" s="13">
        <v>93730.579</v>
      </c>
      <c r="Z31" s="2" t="s">
        <v>3741</v>
      </c>
      <c r="AA31" s="13"/>
      <c r="AB31" s="13"/>
      <c r="AC31" s="2"/>
      <c r="AD31" s="2"/>
      <c r="AE31" s="49"/>
      <c r="AF31" s="2"/>
      <c r="AG31" s="43"/>
      <c r="AH31" s="43"/>
      <c r="AI31" s="2"/>
      <c r="AJ31" s="1"/>
      <c r="AK31" s="1"/>
      <c r="AL31" s="1"/>
      <c r="AM31" s="44">
        <f t="shared" si="0"/>
        <v>0</v>
      </c>
      <c r="AN31" s="45">
        <f t="shared" si="1"/>
        <v>0</v>
      </c>
      <c r="AO31" s="13"/>
    </row>
    <row r="32" spans="1:41" ht="25.5">
      <c r="A32" s="1">
        <v>20</v>
      </c>
      <c r="B32" s="1" t="s">
        <v>6</v>
      </c>
      <c r="C32" s="1" t="s">
        <v>6</v>
      </c>
      <c r="D32" s="1">
        <v>3</v>
      </c>
      <c r="E32" s="14" t="s">
        <v>720</v>
      </c>
      <c r="F32" s="16" t="s">
        <v>2237</v>
      </c>
      <c r="G32" s="16" t="s">
        <v>2510</v>
      </c>
      <c r="H32" s="1" t="s">
        <v>4166</v>
      </c>
      <c r="I32" s="1" t="s">
        <v>4127</v>
      </c>
      <c r="J32" s="63">
        <v>29104391</v>
      </c>
      <c r="K32" s="1" t="s">
        <v>2438</v>
      </c>
      <c r="L32" s="1">
        <v>3447000</v>
      </c>
      <c r="M32" s="1" t="s">
        <v>3735</v>
      </c>
      <c r="N32" s="1" t="s">
        <v>4181</v>
      </c>
      <c r="O32" s="1">
        <v>3428</v>
      </c>
      <c r="P32" s="64">
        <v>43073</v>
      </c>
      <c r="Q32" s="64">
        <v>46724</v>
      </c>
      <c r="R32" s="62" t="s">
        <v>2440</v>
      </c>
      <c r="S32" s="1" t="s">
        <v>2442</v>
      </c>
      <c r="T32" s="9" t="s">
        <v>2444</v>
      </c>
      <c r="U32" s="16" t="s">
        <v>3180</v>
      </c>
      <c r="V32" s="16" t="s">
        <v>3181</v>
      </c>
      <c r="W32" s="16">
        <v>2564</v>
      </c>
      <c r="X32" s="60">
        <v>95592.87</v>
      </c>
      <c r="Y32" s="60">
        <v>92761.35</v>
      </c>
      <c r="Z32" s="2" t="s">
        <v>3741</v>
      </c>
      <c r="AA32" s="13"/>
      <c r="AB32" s="13"/>
      <c r="AC32" s="2"/>
      <c r="AD32" s="2"/>
      <c r="AE32" s="49"/>
      <c r="AF32" s="2"/>
      <c r="AG32" s="43"/>
      <c r="AH32" s="43"/>
      <c r="AI32" s="2"/>
      <c r="AJ32" s="1"/>
      <c r="AK32" s="1"/>
      <c r="AL32" s="1"/>
      <c r="AM32" s="44">
        <f t="shared" si="0"/>
        <v>0</v>
      </c>
      <c r="AN32" s="45">
        <f t="shared" si="1"/>
        <v>0</v>
      </c>
      <c r="AO32" s="2" t="s">
        <v>2457</v>
      </c>
    </row>
    <row r="33" spans="1:41" ht="25.5">
      <c r="A33" s="1">
        <v>21</v>
      </c>
      <c r="B33" s="1" t="s">
        <v>6</v>
      </c>
      <c r="C33" s="1" t="s">
        <v>6</v>
      </c>
      <c r="D33" s="1">
        <v>3</v>
      </c>
      <c r="E33" s="14" t="s">
        <v>2240</v>
      </c>
      <c r="F33" s="16" t="s">
        <v>2238</v>
      </c>
      <c r="G33" s="1" t="s">
        <v>2511</v>
      </c>
      <c r="H33" s="1" t="s">
        <v>4166</v>
      </c>
      <c r="I33" s="1" t="s">
        <v>4127</v>
      </c>
      <c r="J33" s="63">
        <v>29104391</v>
      </c>
      <c r="K33" s="1" t="s">
        <v>2438</v>
      </c>
      <c r="L33" s="1">
        <v>3447000</v>
      </c>
      <c r="M33" s="1" t="s">
        <v>3735</v>
      </c>
      <c r="N33" s="1" t="s">
        <v>4181</v>
      </c>
      <c r="O33" s="1">
        <v>3428</v>
      </c>
      <c r="P33" s="64">
        <v>43073</v>
      </c>
      <c r="Q33" s="64">
        <v>46724</v>
      </c>
      <c r="R33" s="62" t="s">
        <v>2440</v>
      </c>
      <c r="S33" s="85" t="s">
        <v>2441</v>
      </c>
      <c r="T33" s="9" t="s">
        <v>2443</v>
      </c>
      <c r="U33" s="16" t="s">
        <v>3182</v>
      </c>
      <c r="V33" s="16" t="s">
        <v>722</v>
      </c>
      <c r="W33" s="16">
        <v>2565</v>
      </c>
      <c r="X33" s="13">
        <v>96010.5</v>
      </c>
      <c r="Y33" s="13">
        <v>93846.825</v>
      </c>
      <c r="Z33" s="2" t="s">
        <v>3741</v>
      </c>
      <c r="AA33" s="13"/>
      <c r="AB33" s="13"/>
      <c r="AC33" s="2"/>
      <c r="AD33" s="2"/>
      <c r="AE33" s="49"/>
      <c r="AF33" s="2"/>
      <c r="AG33" s="43"/>
      <c r="AH33" s="43"/>
      <c r="AI33" s="2"/>
      <c r="AJ33" s="1"/>
      <c r="AK33" s="1"/>
      <c r="AL33" s="1"/>
      <c r="AM33" s="44">
        <f t="shared" si="0"/>
        <v>0</v>
      </c>
      <c r="AN33" s="45">
        <f t="shared" si="1"/>
        <v>0</v>
      </c>
      <c r="AO33" s="13"/>
    </row>
    <row r="34" spans="1:41" ht="51.75" customHeight="1">
      <c r="A34" s="1">
        <v>22</v>
      </c>
      <c r="B34" s="1" t="s">
        <v>6</v>
      </c>
      <c r="C34" s="1" t="s">
        <v>6</v>
      </c>
      <c r="D34" s="1">
        <v>3</v>
      </c>
      <c r="E34" s="20" t="s">
        <v>2241</v>
      </c>
      <c r="F34" s="1" t="s">
        <v>2089</v>
      </c>
      <c r="G34" s="1" t="s">
        <v>2511</v>
      </c>
      <c r="H34" s="1" t="s">
        <v>4166</v>
      </c>
      <c r="I34" s="1" t="s">
        <v>4127</v>
      </c>
      <c r="J34" s="63">
        <v>29104391</v>
      </c>
      <c r="K34" s="1" t="s">
        <v>2438</v>
      </c>
      <c r="L34" s="1">
        <v>3447000</v>
      </c>
      <c r="M34" s="1" t="s">
        <v>3735</v>
      </c>
      <c r="N34" s="1" t="s">
        <v>4181</v>
      </c>
      <c r="O34" s="1">
        <v>3428</v>
      </c>
      <c r="P34" s="64">
        <v>43073</v>
      </c>
      <c r="Q34" s="64">
        <v>46724</v>
      </c>
      <c r="R34" s="62" t="s">
        <v>2440</v>
      </c>
      <c r="S34" s="29" t="s">
        <v>2441</v>
      </c>
      <c r="T34" s="9" t="s">
        <v>2443</v>
      </c>
      <c r="U34" s="20" t="s">
        <v>82</v>
      </c>
      <c r="V34" s="20" t="s">
        <v>3183</v>
      </c>
      <c r="W34" s="16">
        <v>2564</v>
      </c>
      <c r="X34" s="60">
        <v>96404.07</v>
      </c>
      <c r="Y34" s="60">
        <v>93250.72</v>
      </c>
      <c r="Z34" s="2" t="s">
        <v>4157</v>
      </c>
      <c r="AA34" s="83" t="s">
        <v>4158</v>
      </c>
      <c r="AB34" s="89">
        <v>0.5833333333333334</v>
      </c>
      <c r="AC34" s="2">
        <v>80</v>
      </c>
      <c r="AD34" s="2">
        <v>38</v>
      </c>
      <c r="AE34" s="49">
        <v>0.5844155844155844</v>
      </c>
      <c r="AF34" s="2">
        <v>24</v>
      </c>
      <c r="AG34" s="102">
        <f>AE34*AC34*AF34*0.0036</f>
        <v>4.039480519480519</v>
      </c>
      <c r="AH34" s="102">
        <f>AE34*AD34*AF34*0.0036</f>
        <v>1.9187532467532464</v>
      </c>
      <c r="AI34" s="2">
        <v>30</v>
      </c>
      <c r="AJ34" s="1">
        <v>12</v>
      </c>
      <c r="AK34" s="1">
        <v>0.71</v>
      </c>
      <c r="AL34" s="1">
        <v>0.59</v>
      </c>
      <c r="AM34" s="44">
        <f t="shared" si="0"/>
        <v>1032.4912207792208</v>
      </c>
      <c r="AN34" s="45">
        <f t="shared" si="1"/>
        <v>407.5431896103895</v>
      </c>
      <c r="AO34" s="2" t="s">
        <v>2495</v>
      </c>
    </row>
    <row r="35" spans="1:41" ht="42.75" customHeight="1">
      <c r="A35" s="1">
        <v>23</v>
      </c>
      <c r="B35" s="1" t="s">
        <v>6</v>
      </c>
      <c r="C35" s="1" t="s">
        <v>6</v>
      </c>
      <c r="D35" s="1">
        <v>3</v>
      </c>
      <c r="E35" s="14" t="s">
        <v>723</v>
      </c>
      <c r="F35" s="16" t="s">
        <v>2090</v>
      </c>
      <c r="G35" s="16" t="s">
        <v>2510</v>
      </c>
      <c r="H35" s="1" t="s">
        <v>4166</v>
      </c>
      <c r="I35" s="1" t="s">
        <v>4127</v>
      </c>
      <c r="J35" s="63">
        <v>29104391</v>
      </c>
      <c r="K35" s="1" t="s">
        <v>2438</v>
      </c>
      <c r="L35" s="1">
        <v>3447000</v>
      </c>
      <c r="M35" s="1" t="s">
        <v>3735</v>
      </c>
      <c r="N35" s="1" t="s">
        <v>4181</v>
      </c>
      <c r="O35" s="1">
        <v>3428</v>
      </c>
      <c r="P35" s="64">
        <v>43073</v>
      </c>
      <c r="Q35" s="64">
        <v>46724</v>
      </c>
      <c r="R35" s="62" t="s">
        <v>2440</v>
      </c>
      <c r="S35" s="1" t="s">
        <v>2442</v>
      </c>
      <c r="T35" s="9" t="s">
        <v>2444</v>
      </c>
      <c r="U35" s="16" t="s">
        <v>3184</v>
      </c>
      <c r="V35" s="16" t="s">
        <v>732</v>
      </c>
      <c r="W35" s="16">
        <v>2564</v>
      </c>
      <c r="X35" s="60">
        <v>96391.53</v>
      </c>
      <c r="Y35" s="60">
        <v>93211.57</v>
      </c>
      <c r="Z35" s="2" t="s">
        <v>3885</v>
      </c>
      <c r="AA35" s="67">
        <v>43627</v>
      </c>
      <c r="AB35" s="50">
        <v>0.4305555555555556</v>
      </c>
      <c r="AC35" s="2"/>
      <c r="AD35" s="2"/>
      <c r="AE35" s="49"/>
      <c r="AF35" s="2"/>
      <c r="AG35" s="43"/>
      <c r="AH35" s="43"/>
      <c r="AI35" s="2"/>
      <c r="AJ35" s="1"/>
      <c r="AK35" s="1"/>
      <c r="AL35" s="1"/>
      <c r="AM35" s="117">
        <f t="shared" si="0"/>
        <v>0</v>
      </c>
      <c r="AN35" s="118">
        <f t="shared" si="1"/>
        <v>0</v>
      </c>
      <c r="AO35" s="13" t="s">
        <v>2478</v>
      </c>
    </row>
    <row r="36" spans="1:41" ht="37.5" customHeight="1">
      <c r="A36" s="1">
        <v>24</v>
      </c>
      <c r="B36" s="1" t="s">
        <v>6</v>
      </c>
      <c r="C36" s="1" t="s">
        <v>6</v>
      </c>
      <c r="D36" s="1">
        <v>3</v>
      </c>
      <c r="E36" s="14" t="s">
        <v>724</v>
      </c>
      <c r="F36" s="16" t="s">
        <v>2091</v>
      </c>
      <c r="G36" s="16" t="s">
        <v>2510</v>
      </c>
      <c r="H36" s="1" t="s">
        <v>4166</v>
      </c>
      <c r="I36" s="1" t="s">
        <v>4127</v>
      </c>
      <c r="J36" s="63">
        <v>29104391</v>
      </c>
      <c r="K36" s="1" t="s">
        <v>2438</v>
      </c>
      <c r="L36" s="1">
        <v>3447000</v>
      </c>
      <c r="M36" s="1" t="s">
        <v>3735</v>
      </c>
      <c r="N36" s="1" t="s">
        <v>4181</v>
      </c>
      <c r="O36" s="1">
        <v>3428</v>
      </c>
      <c r="P36" s="64">
        <v>43073</v>
      </c>
      <c r="Q36" s="64">
        <v>46724</v>
      </c>
      <c r="R36" s="62" t="s">
        <v>2440</v>
      </c>
      <c r="S36" s="1" t="s">
        <v>2442</v>
      </c>
      <c r="T36" s="9" t="s">
        <v>2443</v>
      </c>
      <c r="U36" s="16" t="s">
        <v>3185</v>
      </c>
      <c r="V36" s="16" t="s">
        <v>733</v>
      </c>
      <c r="W36" s="16">
        <v>2563</v>
      </c>
      <c r="X36" s="60">
        <v>96385.69</v>
      </c>
      <c r="Y36" s="60">
        <v>93157.61</v>
      </c>
      <c r="Z36" s="2" t="s">
        <v>3753</v>
      </c>
      <c r="AA36" s="67">
        <v>43633</v>
      </c>
      <c r="AB36" s="2" t="s">
        <v>2473</v>
      </c>
      <c r="AC36" s="2">
        <v>15</v>
      </c>
      <c r="AD36" s="2">
        <v>91</v>
      </c>
      <c r="AE36" s="49">
        <f>(1.7+2.133+1.987+2.121+1.978)/5</f>
        <v>1.9838</v>
      </c>
      <c r="AF36" s="2">
        <v>24</v>
      </c>
      <c r="AG36" s="43">
        <f>AE36*AC36*AF36*0.0036</f>
        <v>2.5710048</v>
      </c>
      <c r="AH36" s="43">
        <f>AE36*AD36*AF36*0.0036</f>
        <v>15.59742912</v>
      </c>
      <c r="AI36" s="2">
        <v>30</v>
      </c>
      <c r="AJ36" s="1">
        <v>12</v>
      </c>
      <c r="AK36" s="1">
        <v>0.58</v>
      </c>
      <c r="AL36" s="1">
        <v>0.78</v>
      </c>
      <c r="AM36" s="117">
        <f t="shared" si="0"/>
        <v>536.8258022399999</v>
      </c>
      <c r="AN36" s="118">
        <f t="shared" si="1"/>
        <v>4379.758096896</v>
      </c>
      <c r="AO36" s="13" t="s">
        <v>2478</v>
      </c>
    </row>
    <row r="37" spans="1:41" ht="25.5">
      <c r="A37" s="1">
        <v>25</v>
      </c>
      <c r="B37" s="1" t="s">
        <v>6</v>
      </c>
      <c r="C37" s="1" t="s">
        <v>6</v>
      </c>
      <c r="D37" s="1">
        <v>3</v>
      </c>
      <c r="E37" s="14" t="s">
        <v>725</v>
      </c>
      <c r="F37" s="16" t="s">
        <v>740</v>
      </c>
      <c r="G37" s="1" t="s">
        <v>2511</v>
      </c>
      <c r="H37" s="1" t="s">
        <v>4166</v>
      </c>
      <c r="I37" s="1" t="s">
        <v>4127</v>
      </c>
      <c r="J37" s="63">
        <v>29104391</v>
      </c>
      <c r="K37" s="1" t="s">
        <v>2438</v>
      </c>
      <c r="L37" s="1">
        <v>3447000</v>
      </c>
      <c r="M37" s="1" t="s">
        <v>3735</v>
      </c>
      <c r="N37" s="1" t="s">
        <v>4181</v>
      </c>
      <c r="O37" s="1">
        <v>3428</v>
      </c>
      <c r="P37" s="64">
        <v>43073</v>
      </c>
      <c r="Q37" s="64">
        <v>46724</v>
      </c>
      <c r="R37" s="62" t="s">
        <v>2440</v>
      </c>
      <c r="S37" s="85" t="s">
        <v>2441</v>
      </c>
      <c r="T37" s="9" t="s">
        <v>2443</v>
      </c>
      <c r="U37" s="16" t="s">
        <v>3186</v>
      </c>
      <c r="V37" s="16" t="s">
        <v>734</v>
      </c>
      <c r="W37" s="16">
        <v>2563</v>
      </c>
      <c r="X37" s="13">
        <v>96889.352</v>
      </c>
      <c r="Y37" s="13">
        <v>93020.382</v>
      </c>
      <c r="Z37" s="2" t="s">
        <v>3741</v>
      </c>
      <c r="AA37" s="13"/>
      <c r="AB37" s="13"/>
      <c r="AC37" s="2"/>
      <c r="AD37" s="2"/>
      <c r="AE37" s="49"/>
      <c r="AF37" s="2"/>
      <c r="AG37" s="43"/>
      <c r="AH37" s="43"/>
      <c r="AI37" s="2"/>
      <c r="AJ37" s="1"/>
      <c r="AK37" s="1"/>
      <c r="AL37" s="1"/>
      <c r="AM37" s="44">
        <f t="shared" si="0"/>
        <v>0</v>
      </c>
      <c r="AN37" s="45">
        <f t="shared" si="1"/>
        <v>0</v>
      </c>
      <c r="AO37" s="13"/>
    </row>
    <row r="38" spans="1:41" ht="25.5">
      <c r="A38" s="1">
        <v>26</v>
      </c>
      <c r="B38" s="1" t="s">
        <v>6</v>
      </c>
      <c r="C38" s="1" t="s">
        <v>6</v>
      </c>
      <c r="D38" s="1">
        <v>3</v>
      </c>
      <c r="E38" s="14" t="s">
        <v>726</v>
      </c>
      <c r="F38" s="16" t="s">
        <v>741</v>
      </c>
      <c r="G38" s="16" t="s">
        <v>2510</v>
      </c>
      <c r="H38" s="1" t="s">
        <v>4166</v>
      </c>
      <c r="I38" s="1" t="s">
        <v>4127</v>
      </c>
      <c r="J38" s="63">
        <v>29104391</v>
      </c>
      <c r="K38" s="1" t="s">
        <v>2438</v>
      </c>
      <c r="L38" s="1">
        <v>3447000</v>
      </c>
      <c r="M38" s="1" t="s">
        <v>3735</v>
      </c>
      <c r="N38" s="1" t="s">
        <v>4181</v>
      </c>
      <c r="O38" s="1">
        <v>3428</v>
      </c>
      <c r="P38" s="64">
        <v>43073</v>
      </c>
      <c r="Q38" s="64">
        <v>46724</v>
      </c>
      <c r="R38" s="62" t="s">
        <v>2440</v>
      </c>
      <c r="S38" s="1" t="s">
        <v>2442</v>
      </c>
      <c r="T38" s="9" t="s">
        <v>2444</v>
      </c>
      <c r="U38" s="16" t="s">
        <v>3187</v>
      </c>
      <c r="V38" s="16" t="s">
        <v>735</v>
      </c>
      <c r="W38" s="16">
        <v>2561</v>
      </c>
      <c r="X38" s="60">
        <v>96950.19</v>
      </c>
      <c r="Y38" s="60">
        <v>92882.84</v>
      </c>
      <c r="Z38" s="2" t="s">
        <v>3741</v>
      </c>
      <c r="AA38" s="13"/>
      <c r="AB38" s="13"/>
      <c r="AC38" s="2"/>
      <c r="AD38" s="2"/>
      <c r="AE38" s="49"/>
      <c r="AF38" s="2"/>
      <c r="AG38" s="43"/>
      <c r="AH38" s="43"/>
      <c r="AI38" s="2"/>
      <c r="AJ38" s="1"/>
      <c r="AK38" s="1"/>
      <c r="AL38" s="1"/>
      <c r="AM38" s="44">
        <f t="shared" si="0"/>
        <v>0</v>
      </c>
      <c r="AN38" s="45">
        <f t="shared" si="1"/>
        <v>0</v>
      </c>
      <c r="AO38" s="2" t="s">
        <v>2457</v>
      </c>
    </row>
    <row r="39" spans="1:41" ht="25.5">
      <c r="A39" s="1">
        <v>27</v>
      </c>
      <c r="B39" s="1" t="s">
        <v>6</v>
      </c>
      <c r="C39" s="1" t="s">
        <v>6</v>
      </c>
      <c r="D39" s="1">
        <v>3</v>
      </c>
      <c r="E39" s="14" t="s">
        <v>727</v>
      </c>
      <c r="F39" s="16" t="s">
        <v>742</v>
      </c>
      <c r="G39" s="1" t="s">
        <v>2511</v>
      </c>
      <c r="H39" s="1" t="s">
        <v>4166</v>
      </c>
      <c r="I39" s="1" t="s">
        <v>4127</v>
      </c>
      <c r="J39" s="63">
        <v>29104391</v>
      </c>
      <c r="K39" s="1" t="s">
        <v>2438</v>
      </c>
      <c r="L39" s="1">
        <v>3447000</v>
      </c>
      <c r="M39" s="1" t="s">
        <v>3735</v>
      </c>
      <c r="N39" s="1" t="s">
        <v>4181</v>
      </c>
      <c r="O39" s="1">
        <v>3428</v>
      </c>
      <c r="P39" s="64">
        <v>43073</v>
      </c>
      <c r="Q39" s="64">
        <v>46724</v>
      </c>
      <c r="R39" s="62" t="s">
        <v>2440</v>
      </c>
      <c r="S39" s="85" t="s">
        <v>2441</v>
      </c>
      <c r="T39" s="9" t="s">
        <v>2445</v>
      </c>
      <c r="U39" s="16" t="s">
        <v>3188</v>
      </c>
      <c r="V39" s="16" t="s">
        <v>736</v>
      </c>
      <c r="W39" s="16">
        <v>2560</v>
      </c>
      <c r="X39" s="13">
        <v>97166.531</v>
      </c>
      <c r="Y39" s="13">
        <v>93002.186</v>
      </c>
      <c r="Z39" s="2" t="s">
        <v>3741</v>
      </c>
      <c r="AA39" s="13"/>
      <c r="AB39" s="13"/>
      <c r="AC39" s="2"/>
      <c r="AD39" s="2"/>
      <c r="AE39" s="49"/>
      <c r="AF39" s="2"/>
      <c r="AG39" s="43"/>
      <c r="AH39" s="43"/>
      <c r="AI39" s="2"/>
      <c r="AJ39" s="1"/>
      <c r="AK39" s="1"/>
      <c r="AL39" s="1"/>
      <c r="AM39" s="44">
        <f t="shared" si="0"/>
        <v>0</v>
      </c>
      <c r="AN39" s="45">
        <f t="shared" si="1"/>
        <v>0</v>
      </c>
      <c r="AO39" s="13"/>
    </row>
    <row r="40" spans="1:41" ht="49.5" customHeight="1">
      <c r="A40" s="1">
        <v>28</v>
      </c>
      <c r="B40" s="1" t="s">
        <v>6</v>
      </c>
      <c r="C40" s="1" t="s">
        <v>6</v>
      </c>
      <c r="D40" s="1">
        <v>3</v>
      </c>
      <c r="E40" s="14" t="s">
        <v>728</v>
      </c>
      <c r="F40" s="16" t="s">
        <v>743</v>
      </c>
      <c r="G40" s="16" t="s">
        <v>2510</v>
      </c>
      <c r="H40" s="1" t="s">
        <v>4166</v>
      </c>
      <c r="I40" s="1" t="s">
        <v>4127</v>
      </c>
      <c r="J40" s="63">
        <v>29104391</v>
      </c>
      <c r="K40" s="1" t="s">
        <v>2438</v>
      </c>
      <c r="L40" s="1">
        <v>3447000</v>
      </c>
      <c r="M40" s="1" t="s">
        <v>3735</v>
      </c>
      <c r="N40" s="1" t="s">
        <v>4181</v>
      </c>
      <c r="O40" s="1">
        <v>3428</v>
      </c>
      <c r="P40" s="64">
        <v>43073</v>
      </c>
      <c r="Q40" s="64">
        <v>46724</v>
      </c>
      <c r="R40" s="62" t="s">
        <v>2440</v>
      </c>
      <c r="S40" s="1" t="s">
        <v>2442</v>
      </c>
      <c r="T40" s="9" t="s">
        <v>2444</v>
      </c>
      <c r="U40" s="16" t="s">
        <v>3189</v>
      </c>
      <c r="V40" s="16" t="s">
        <v>737</v>
      </c>
      <c r="W40" s="16">
        <v>2563</v>
      </c>
      <c r="X40" s="60">
        <v>97204.02</v>
      </c>
      <c r="Y40" s="60">
        <v>92827.95</v>
      </c>
      <c r="Z40" s="2" t="s">
        <v>3776</v>
      </c>
      <c r="AA40" s="13"/>
      <c r="AB40" s="13"/>
      <c r="AC40" s="2"/>
      <c r="AD40" s="2"/>
      <c r="AE40" s="49"/>
      <c r="AF40" s="2"/>
      <c r="AG40" s="43"/>
      <c r="AH40" s="43"/>
      <c r="AI40" s="2"/>
      <c r="AJ40" s="1"/>
      <c r="AK40" s="1"/>
      <c r="AL40" s="1"/>
      <c r="AM40" s="117">
        <v>1214.5889486846424</v>
      </c>
      <c r="AN40" s="118">
        <v>839.1461346940025</v>
      </c>
      <c r="AO40" s="13" t="s">
        <v>2478</v>
      </c>
    </row>
    <row r="41" spans="1:41" ht="25.5">
      <c r="A41" s="1">
        <v>29</v>
      </c>
      <c r="B41" s="1" t="s">
        <v>6</v>
      </c>
      <c r="C41" s="1" t="s">
        <v>6</v>
      </c>
      <c r="D41" s="1">
        <v>3</v>
      </c>
      <c r="E41" s="14" t="s">
        <v>729</v>
      </c>
      <c r="F41" s="16" t="s">
        <v>744</v>
      </c>
      <c r="G41" s="16" t="s">
        <v>2511</v>
      </c>
      <c r="H41" s="1" t="s">
        <v>4166</v>
      </c>
      <c r="I41" s="1" t="s">
        <v>4127</v>
      </c>
      <c r="J41" s="63">
        <v>29104391</v>
      </c>
      <c r="K41" s="1" t="s">
        <v>2438</v>
      </c>
      <c r="L41" s="1">
        <v>3447000</v>
      </c>
      <c r="M41" s="1" t="s">
        <v>3735</v>
      </c>
      <c r="N41" s="1" t="s">
        <v>4181</v>
      </c>
      <c r="O41" s="1">
        <v>3428</v>
      </c>
      <c r="P41" s="64">
        <v>43073</v>
      </c>
      <c r="Q41" s="64">
        <v>46724</v>
      </c>
      <c r="R41" s="62" t="s">
        <v>2440</v>
      </c>
      <c r="S41" s="29" t="s">
        <v>2441</v>
      </c>
      <c r="T41" s="9" t="s">
        <v>2444</v>
      </c>
      <c r="U41" s="16" t="s">
        <v>3190</v>
      </c>
      <c r="V41" s="16" t="s">
        <v>738</v>
      </c>
      <c r="W41" s="16">
        <v>2559</v>
      </c>
      <c r="X41" s="60">
        <v>97762.99</v>
      </c>
      <c r="Y41" s="60">
        <v>92974.42</v>
      </c>
      <c r="Z41" s="2" t="s">
        <v>3741</v>
      </c>
      <c r="AA41" s="13"/>
      <c r="AB41" s="13"/>
      <c r="AC41" s="2"/>
      <c r="AD41" s="2"/>
      <c r="AE41" s="49"/>
      <c r="AF41" s="2"/>
      <c r="AG41" s="43"/>
      <c r="AH41" s="43"/>
      <c r="AI41" s="2"/>
      <c r="AJ41" s="1"/>
      <c r="AK41" s="1"/>
      <c r="AL41" s="1"/>
      <c r="AM41" s="44">
        <f t="shared" si="0"/>
        <v>0</v>
      </c>
      <c r="AN41" s="45">
        <f t="shared" si="1"/>
        <v>0</v>
      </c>
      <c r="AO41" s="2" t="s">
        <v>2457</v>
      </c>
    </row>
    <row r="42" spans="1:41" ht="25.5">
      <c r="A42" s="1">
        <v>30</v>
      </c>
      <c r="B42" s="1" t="s">
        <v>6</v>
      </c>
      <c r="C42" s="1" t="s">
        <v>6</v>
      </c>
      <c r="D42" s="1">
        <v>3</v>
      </c>
      <c r="E42" s="14" t="s">
        <v>730</v>
      </c>
      <c r="F42" s="16" t="s">
        <v>745</v>
      </c>
      <c r="G42" s="16" t="s">
        <v>2511</v>
      </c>
      <c r="H42" s="1" t="s">
        <v>4166</v>
      </c>
      <c r="I42" s="1" t="s">
        <v>4127</v>
      </c>
      <c r="J42" s="63">
        <v>29104391</v>
      </c>
      <c r="K42" s="1" t="s">
        <v>2438</v>
      </c>
      <c r="L42" s="1">
        <v>3447000</v>
      </c>
      <c r="M42" s="1" t="s">
        <v>3735</v>
      </c>
      <c r="N42" s="1" t="s">
        <v>4181</v>
      </c>
      <c r="O42" s="1">
        <v>3428</v>
      </c>
      <c r="P42" s="64">
        <v>43073</v>
      </c>
      <c r="Q42" s="64">
        <v>46724</v>
      </c>
      <c r="R42" s="62" t="s">
        <v>2440</v>
      </c>
      <c r="S42" s="29" t="s">
        <v>2441</v>
      </c>
      <c r="T42" s="9" t="s">
        <v>2444</v>
      </c>
      <c r="U42" s="16" t="s">
        <v>3191</v>
      </c>
      <c r="V42" s="16" t="s">
        <v>3192</v>
      </c>
      <c r="W42" s="16">
        <v>2560</v>
      </c>
      <c r="X42" s="60">
        <v>97874.23</v>
      </c>
      <c r="Y42" s="60">
        <v>92883.45</v>
      </c>
      <c r="Z42" s="2" t="s">
        <v>3741</v>
      </c>
      <c r="AA42" s="13"/>
      <c r="AB42" s="13"/>
      <c r="AC42" s="2"/>
      <c r="AD42" s="2"/>
      <c r="AE42" s="49"/>
      <c r="AF42" s="2"/>
      <c r="AG42" s="43"/>
      <c r="AH42" s="43"/>
      <c r="AI42" s="2"/>
      <c r="AJ42" s="1"/>
      <c r="AK42" s="1"/>
      <c r="AL42" s="1"/>
      <c r="AM42" s="44">
        <f t="shared" si="0"/>
        <v>0</v>
      </c>
      <c r="AN42" s="45">
        <f t="shared" si="1"/>
        <v>0</v>
      </c>
      <c r="AO42" s="2" t="s">
        <v>2457</v>
      </c>
    </row>
    <row r="43" spans="1:41" ht="25.5">
      <c r="A43" s="1">
        <v>31</v>
      </c>
      <c r="B43" s="1" t="s">
        <v>6</v>
      </c>
      <c r="C43" s="1" t="s">
        <v>6</v>
      </c>
      <c r="D43" s="1">
        <v>3</v>
      </c>
      <c r="E43" s="14" t="s">
        <v>731</v>
      </c>
      <c r="F43" s="16" t="s">
        <v>2092</v>
      </c>
      <c r="G43" s="16" t="s">
        <v>2510</v>
      </c>
      <c r="H43" s="1" t="s">
        <v>4166</v>
      </c>
      <c r="I43" s="1" t="s">
        <v>4127</v>
      </c>
      <c r="J43" s="63">
        <v>29104391</v>
      </c>
      <c r="K43" s="1" t="s">
        <v>2438</v>
      </c>
      <c r="L43" s="1">
        <v>3447000</v>
      </c>
      <c r="M43" s="1" t="s">
        <v>3735</v>
      </c>
      <c r="N43" s="1" t="s">
        <v>4181</v>
      </c>
      <c r="O43" s="1">
        <v>3428</v>
      </c>
      <c r="P43" s="64">
        <v>43073</v>
      </c>
      <c r="Q43" s="64">
        <v>46724</v>
      </c>
      <c r="R43" s="62" t="s">
        <v>2440</v>
      </c>
      <c r="S43" s="85" t="s">
        <v>2442</v>
      </c>
      <c r="T43" s="9" t="s">
        <v>2443</v>
      </c>
      <c r="U43" s="16" t="s">
        <v>3193</v>
      </c>
      <c r="V43" s="16" t="s">
        <v>739</v>
      </c>
      <c r="W43" s="13">
        <v>2561</v>
      </c>
      <c r="X43" s="13">
        <v>97528.829</v>
      </c>
      <c r="Y43" s="13">
        <v>92208.449</v>
      </c>
      <c r="Z43" s="2" t="s">
        <v>3741</v>
      </c>
      <c r="AA43" s="13"/>
      <c r="AB43" s="13"/>
      <c r="AC43" s="2"/>
      <c r="AD43" s="2"/>
      <c r="AE43" s="49"/>
      <c r="AF43" s="2"/>
      <c r="AG43" s="43"/>
      <c r="AH43" s="43"/>
      <c r="AI43" s="2"/>
      <c r="AJ43" s="1"/>
      <c r="AK43" s="1"/>
      <c r="AL43" s="1"/>
      <c r="AM43" s="44">
        <f t="shared" si="0"/>
        <v>0</v>
      </c>
      <c r="AN43" s="45">
        <f t="shared" si="1"/>
        <v>0</v>
      </c>
      <c r="AO43" s="13"/>
    </row>
    <row r="44" spans="1:41" ht="57.75" customHeight="1">
      <c r="A44" s="1">
        <v>32</v>
      </c>
      <c r="B44" s="1" t="s">
        <v>6</v>
      </c>
      <c r="C44" s="1" t="s">
        <v>6</v>
      </c>
      <c r="D44" s="1">
        <v>3</v>
      </c>
      <c r="E44" s="1" t="s">
        <v>2242</v>
      </c>
      <c r="F44" s="2" t="s">
        <v>2019</v>
      </c>
      <c r="G44" s="16" t="s">
        <v>2510</v>
      </c>
      <c r="H44" s="1" t="s">
        <v>4166</v>
      </c>
      <c r="I44" s="1" t="s">
        <v>4127</v>
      </c>
      <c r="J44" s="63">
        <v>29104391</v>
      </c>
      <c r="K44" s="1" t="s">
        <v>2438</v>
      </c>
      <c r="L44" s="1">
        <v>3447000</v>
      </c>
      <c r="M44" s="1" t="s">
        <v>3735</v>
      </c>
      <c r="N44" s="1" t="s">
        <v>4181</v>
      </c>
      <c r="O44" s="1">
        <v>3428</v>
      </c>
      <c r="P44" s="64">
        <v>43073</v>
      </c>
      <c r="Q44" s="64">
        <v>46724</v>
      </c>
      <c r="R44" s="62" t="s">
        <v>2440</v>
      </c>
      <c r="S44" s="1" t="s">
        <v>2442</v>
      </c>
      <c r="T44" s="9" t="s">
        <v>2443</v>
      </c>
      <c r="U44" s="13" t="s">
        <v>16</v>
      </c>
      <c r="V44" s="13" t="s">
        <v>3194</v>
      </c>
      <c r="W44" s="16">
        <v>2560</v>
      </c>
      <c r="X44" s="60">
        <v>97743.62</v>
      </c>
      <c r="Y44" s="60">
        <v>92124.88</v>
      </c>
      <c r="Z44" s="2" t="s">
        <v>3886</v>
      </c>
      <c r="AA44" s="13"/>
      <c r="AB44" s="13"/>
      <c r="AC44" s="2"/>
      <c r="AD44" s="2"/>
      <c r="AE44" s="49"/>
      <c r="AF44" s="2"/>
      <c r="AG44" s="43"/>
      <c r="AH44" s="43"/>
      <c r="AI44" s="2"/>
      <c r="AJ44" s="1"/>
      <c r="AK44" s="1"/>
      <c r="AL44" s="1"/>
      <c r="AM44" s="117">
        <v>402.18648462383504</v>
      </c>
      <c r="AN44" s="118">
        <v>139.56662754708188</v>
      </c>
      <c r="AO44" s="13" t="s">
        <v>2457</v>
      </c>
    </row>
    <row r="45" spans="1:41" ht="58.5" customHeight="1">
      <c r="A45" s="1">
        <v>33</v>
      </c>
      <c r="B45" s="1" t="s">
        <v>6</v>
      </c>
      <c r="C45" s="1" t="s">
        <v>6</v>
      </c>
      <c r="D45" s="1">
        <v>3</v>
      </c>
      <c r="E45" s="1" t="s">
        <v>2243</v>
      </c>
      <c r="F45" s="2" t="s">
        <v>747</v>
      </c>
      <c r="G45" s="16" t="s">
        <v>2510</v>
      </c>
      <c r="H45" s="1" t="s">
        <v>4166</v>
      </c>
      <c r="I45" s="1" t="s">
        <v>4127</v>
      </c>
      <c r="J45" s="63">
        <v>29104391</v>
      </c>
      <c r="K45" s="1" t="s">
        <v>2438</v>
      </c>
      <c r="L45" s="1">
        <v>3447000</v>
      </c>
      <c r="M45" s="1" t="s">
        <v>3735</v>
      </c>
      <c r="N45" s="1" t="s">
        <v>4181</v>
      </c>
      <c r="O45" s="1">
        <v>3428</v>
      </c>
      <c r="P45" s="64">
        <v>43073</v>
      </c>
      <c r="Q45" s="64">
        <v>46724</v>
      </c>
      <c r="R45" s="62" t="s">
        <v>2440</v>
      </c>
      <c r="S45" s="1" t="s">
        <v>2442</v>
      </c>
      <c r="T45" s="9" t="s">
        <v>2443</v>
      </c>
      <c r="U45" s="13" t="s">
        <v>45</v>
      </c>
      <c r="V45" s="13" t="s">
        <v>3195</v>
      </c>
      <c r="W45" s="13">
        <v>2562</v>
      </c>
      <c r="X45" s="60">
        <v>97995.61</v>
      </c>
      <c r="Y45" s="60">
        <v>91941.09</v>
      </c>
      <c r="Z45" s="2" t="s">
        <v>3887</v>
      </c>
      <c r="AA45" s="67"/>
      <c r="AB45" s="2"/>
      <c r="AC45" s="2"/>
      <c r="AD45" s="2"/>
      <c r="AE45" s="49"/>
      <c r="AF45" s="2"/>
      <c r="AG45" s="43"/>
      <c r="AH45" s="43"/>
      <c r="AI45" s="2"/>
      <c r="AJ45" s="1"/>
      <c r="AK45" s="1"/>
      <c r="AL45" s="1"/>
      <c r="AM45" s="117">
        <v>183169.01897029614</v>
      </c>
      <c r="AN45" s="118">
        <v>129168.76880802675</v>
      </c>
      <c r="AO45" s="13" t="s">
        <v>2478</v>
      </c>
    </row>
    <row r="46" spans="1:41" ht="61.5" customHeight="1">
      <c r="A46" s="1">
        <v>34</v>
      </c>
      <c r="B46" s="1" t="s">
        <v>6</v>
      </c>
      <c r="C46" s="1" t="s">
        <v>6</v>
      </c>
      <c r="D46" s="1">
        <v>3</v>
      </c>
      <c r="E46" s="1" t="s">
        <v>2244</v>
      </c>
      <c r="F46" s="2" t="s">
        <v>748</v>
      </c>
      <c r="G46" s="16" t="s">
        <v>2510</v>
      </c>
      <c r="H46" s="1" t="s">
        <v>4166</v>
      </c>
      <c r="I46" s="1" t="s">
        <v>4127</v>
      </c>
      <c r="J46" s="63">
        <v>29104391</v>
      </c>
      <c r="K46" s="1" t="s">
        <v>2438</v>
      </c>
      <c r="L46" s="1">
        <v>3447000</v>
      </c>
      <c r="M46" s="1" t="s">
        <v>3735</v>
      </c>
      <c r="N46" s="1" t="s">
        <v>4181</v>
      </c>
      <c r="O46" s="1">
        <v>3428</v>
      </c>
      <c r="P46" s="64">
        <v>43073</v>
      </c>
      <c r="Q46" s="64">
        <v>46724</v>
      </c>
      <c r="R46" s="62" t="s">
        <v>2440</v>
      </c>
      <c r="S46" s="1" t="s">
        <v>2442</v>
      </c>
      <c r="T46" s="9" t="s">
        <v>2443</v>
      </c>
      <c r="U46" s="13" t="s">
        <v>46</v>
      </c>
      <c r="V46" s="13" t="s">
        <v>3196</v>
      </c>
      <c r="W46" s="13">
        <v>2562</v>
      </c>
      <c r="X46" s="60">
        <v>98022.16</v>
      </c>
      <c r="Y46" s="60">
        <v>91899.77</v>
      </c>
      <c r="Z46" s="2" t="s">
        <v>4156</v>
      </c>
      <c r="AA46" s="67">
        <v>43715</v>
      </c>
      <c r="AB46" s="50">
        <v>0.42291666666666666</v>
      </c>
      <c r="AC46" s="93"/>
      <c r="AD46" s="93"/>
      <c r="AE46" s="93"/>
      <c r="AF46" s="93"/>
      <c r="AG46" s="93"/>
      <c r="AH46" s="93"/>
      <c r="AI46" s="93"/>
      <c r="AJ46" s="93"/>
      <c r="AK46" s="93"/>
      <c r="AL46" s="93"/>
      <c r="AM46" s="117">
        <v>177.48422611373658</v>
      </c>
      <c r="AN46" s="118">
        <v>55.775081070245704</v>
      </c>
      <c r="AO46" s="13" t="s">
        <v>2457</v>
      </c>
    </row>
    <row r="47" spans="1:41" ht="25.5">
      <c r="A47" s="1">
        <v>35</v>
      </c>
      <c r="B47" s="1" t="s">
        <v>6</v>
      </c>
      <c r="C47" s="1" t="s">
        <v>6</v>
      </c>
      <c r="D47" s="1">
        <v>3</v>
      </c>
      <c r="E47" s="1" t="s">
        <v>2245</v>
      </c>
      <c r="F47" s="2" t="s">
        <v>2093</v>
      </c>
      <c r="G47" s="16" t="s">
        <v>2511</v>
      </c>
      <c r="H47" s="1" t="s">
        <v>4166</v>
      </c>
      <c r="I47" s="1" t="s">
        <v>4127</v>
      </c>
      <c r="J47" s="63">
        <v>29104391</v>
      </c>
      <c r="K47" s="1" t="s">
        <v>2438</v>
      </c>
      <c r="L47" s="1">
        <v>3447000</v>
      </c>
      <c r="M47" s="1" t="s">
        <v>3735</v>
      </c>
      <c r="N47" s="1" t="s">
        <v>4181</v>
      </c>
      <c r="O47" s="1">
        <v>3428</v>
      </c>
      <c r="P47" s="64">
        <v>43073</v>
      </c>
      <c r="Q47" s="64">
        <v>46724</v>
      </c>
      <c r="R47" s="62" t="s">
        <v>2440</v>
      </c>
      <c r="S47" s="29" t="s">
        <v>2441</v>
      </c>
      <c r="T47" s="9" t="s">
        <v>2444</v>
      </c>
      <c r="U47" s="15" t="s">
        <v>746</v>
      </c>
      <c r="V47" s="15" t="s">
        <v>3197</v>
      </c>
      <c r="W47" s="15">
        <v>2559</v>
      </c>
      <c r="X47" s="60">
        <v>98157.98</v>
      </c>
      <c r="Y47" s="60">
        <v>92033.08</v>
      </c>
      <c r="Z47" s="2" t="s">
        <v>3741</v>
      </c>
      <c r="AA47" s="13"/>
      <c r="AB47" s="13"/>
      <c r="AC47" s="2"/>
      <c r="AD47" s="2"/>
      <c r="AE47" s="49"/>
      <c r="AF47" s="2"/>
      <c r="AG47" s="43"/>
      <c r="AH47" s="43"/>
      <c r="AI47" s="2"/>
      <c r="AJ47" s="1"/>
      <c r="AK47" s="1"/>
      <c r="AL47" s="1"/>
      <c r="AM47" s="44">
        <f t="shared" si="0"/>
        <v>0</v>
      </c>
      <c r="AN47" s="45">
        <f t="shared" si="1"/>
        <v>0</v>
      </c>
      <c r="AO47" s="2" t="s">
        <v>2457</v>
      </c>
    </row>
    <row r="48" spans="1:41" ht="51" customHeight="1">
      <c r="A48" s="1">
        <v>36</v>
      </c>
      <c r="B48" s="1" t="s">
        <v>6</v>
      </c>
      <c r="C48" s="1" t="s">
        <v>6</v>
      </c>
      <c r="D48" s="1">
        <v>3</v>
      </c>
      <c r="E48" s="1" t="s">
        <v>2246</v>
      </c>
      <c r="F48" s="2" t="s">
        <v>2095</v>
      </c>
      <c r="G48" s="16" t="s">
        <v>2510</v>
      </c>
      <c r="H48" s="1" t="s">
        <v>4166</v>
      </c>
      <c r="I48" s="1" t="s">
        <v>4127</v>
      </c>
      <c r="J48" s="63">
        <v>29104391</v>
      </c>
      <c r="K48" s="1" t="s">
        <v>2438</v>
      </c>
      <c r="L48" s="1">
        <v>3447000</v>
      </c>
      <c r="M48" s="1" t="s">
        <v>3735</v>
      </c>
      <c r="N48" s="1" t="s">
        <v>4181</v>
      </c>
      <c r="O48" s="1">
        <v>3428</v>
      </c>
      <c r="P48" s="64">
        <v>43073</v>
      </c>
      <c r="Q48" s="64">
        <v>46724</v>
      </c>
      <c r="R48" s="62" t="s">
        <v>2440</v>
      </c>
      <c r="S48" s="1" t="s">
        <v>2442</v>
      </c>
      <c r="T48" s="9" t="s">
        <v>2443</v>
      </c>
      <c r="U48" s="13" t="s">
        <v>17</v>
      </c>
      <c r="V48" s="13" t="s">
        <v>3198</v>
      </c>
      <c r="W48" s="13">
        <v>2556</v>
      </c>
      <c r="X48" s="60">
        <v>98320.82</v>
      </c>
      <c r="Y48" s="60">
        <v>91942.94</v>
      </c>
      <c r="Z48" s="2" t="s">
        <v>3804</v>
      </c>
      <c r="AA48" s="67">
        <v>43537</v>
      </c>
      <c r="AB48" s="50">
        <v>0.4298611111111111</v>
      </c>
      <c r="AC48" s="93"/>
      <c r="AD48" s="93"/>
      <c r="AE48" s="93"/>
      <c r="AF48" s="93"/>
      <c r="AG48" s="93"/>
      <c r="AH48" s="93"/>
      <c r="AI48" s="93"/>
      <c r="AJ48" s="93"/>
      <c r="AK48" s="93"/>
      <c r="AL48" s="93"/>
      <c r="AM48" s="117">
        <f t="shared" si="0"/>
        <v>0</v>
      </c>
      <c r="AN48" s="118">
        <f t="shared" si="1"/>
        <v>0</v>
      </c>
      <c r="AO48" s="13" t="s">
        <v>2478</v>
      </c>
    </row>
    <row r="49" spans="1:41" ht="88.5" customHeight="1">
      <c r="A49" s="1">
        <v>37</v>
      </c>
      <c r="B49" s="1" t="s">
        <v>6</v>
      </c>
      <c r="C49" s="1" t="s">
        <v>6</v>
      </c>
      <c r="D49" s="1">
        <v>3</v>
      </c>
      <c r="E49" s="1" t="s">
        <v>2247</v>
      </c>
      <c r="F49" s="2" t="s">
        <v>2096</v>
      </c>
      <c r="G49" s="16" t="s">
        <v>2510</v>
      </c>
      <c r="H49" s="1" t="s">
        <v>4166</v>
      </c>
      <c r="I49" s="1" t="s">
        <v>4127</v>
      </c>
      <c r="J49" s="63">
        <v>29104391</v>
      </c>
      <c r="K49" s="1" t="s">
        <v>2438</v>
      </c>
      <c r="L49" s="1">
        <v>3447000</v>
      </c>
      <c r="M49" s="1" t="s">
        <v>3735</v>
      </c>
      <c r="N49" s="1" t="s">
        <v>4181</v>
      </c>
      <c r="O49" s="1">
        <v>3428</v>
      </c>
      <c r="P49" s="64">
        <v>43073</v>
      </c>
      <c r="Q49" s="64">
        <v>46724</v>
      </c>
      <c r="R49" s="62" t="s">
        <v>2440</v>
      </c>
      <c r="S49" s="1" t="s">
        <v>2442</v>
      </c>
      <c r="T49" s="9" t="s">
        <v>2443</v>
      </c>
      <c r="U49" s="13" t="s">
        <v>17</v>
      </c>
      <c r="V49" s="13" t="s">
        <v>3198</v>
      </c>
      <c r="W49" s="13">
        <v>2556</v>
      </c>
      <c r="X49" s="60">
        <v>98320.82</v>
      </c>
      <c r="Y49" s="60">
        <v>91942.94</v>
      </c>
      <c r="Z49" s="2" t="s">
        <v>4091</v>
      </c>
      <c r="AA49" s="83">
        <v>43706</v>
      </c>
      <c r="AB49" s="13" t="s">
        <v>2472</v>
      </c>
      <c r="AC49" s="2">
        <v>458</v>
      </c>
      <c r="AD49" s="2">
        <v>230</v>
      </c>
      <c r="AE49" s="102">
        <v>42.8</v>
      </c>
      <c r="AF49" s="2">
        <v>24</v>
      </c>
      <c r="AG49" s="43">
        <f>AE49*AC49*AF49*0.0036</f>
        <v>1693.64736</v>
      </c>
      <c r="AH49" s="43">
        <f>AE49*AD49*AF49*0.0036</f>
        <v>850.5215999999999</v>
      </c>
      <c r="AI49" s="2">
        <v>30</v>
      </c>
      <c r="AJ49" s="1">
        <v>12</v>
      </c>
      <c r="AK49" s="1">
        <v>0.72</v>
      </c>
      <c r="AL49" s="1">
        <v>0.82</v>
      </c>
      <c r="AM49" s="117">
        <f>AG49*AI49*AJ49*AK49</f>
        <v>438993.395712</v>
      </c>
      <c r="AN49" s="118">
        <f>AH49*AI49*AJ49*AL49</f>
        <v>251073.97631999996</v>
      </c>
      <c r="AO49" s="13" t="s">
        <v>2478</v>
      </c>
    </row>
    <row r="50" spans="1:41" ht="63" customHeight="1">
      <c r="A50" s="1">
        <v>38</v>
      </c>
      <c r="B50" s="1" t="s">
        <v>6</v>
      </c>
      <c r="C50" s="1" t="s">
        <v>6</v>
      </c>
      <c r="D50" s="1">
        <v>3</v>
      </c>
      <c r="E50" s="1" t="s">
        <v>2248</v>
      </c>
      <c r="F50" s="2" t="s">
        <v>2097</v>
      </c>
      <c r="G50" s="16" t="s">
        <v>2511</v>
      </c>
      <c r="H50" s="1" t="s">
        <v>4166</v>
      </c>
      <c r="I50" s="1" t="s">
        <v>4127</v>
      </c>
      <c r="J50" s="63">
        <v>29104391</v>
      </c>
      <c r="K50" s="1" t="s">
        <v>2438</v>
      </c>
      <c r="L50" s="1">
        <v>3447000</v>
      </c>
      <c r="M50" s="1" t="s">
        <v>3735</v>
      </c>
      <c r="N50" s="1" t="s">
        <v>4181</v>
      </c>
      <c r="O50" s="1">
        <v>3428</v>
      </c>
      <c r="P50" s="64">
        <v>43073</v>
      </c>
      <c r="Q50" s="64">
        <v>46724</v>
      </c>
      <c r="R50" s="62" t="s">
        <v>2440</v>
      </c>
      <c r="S50" s="29" t="s">
        <v>2441</v>
      </c>
      <c r="T50" s="9" t="s">
        <v>2443</v>
      </c>
      <c r="U50" s="13" t="s">
        <v>18</v>
      </c>
      <c r="V50" s="13" t="s">
        <v>3199</v>
      </c>
      <c r="W50" s="13">
        <v>2558</v>
      </c>
      <c r="X50" s="60">
        <v>98326.96</v>
      </c>
      <c r="Y50" s="60">
        <v>92233.73</v>
      </c>
      <c r="Z50" s="2" t="s">
        <v>4094</v>
      </c>
      <c r="AA50" s="83">
        <v>43682</v>
      </c>
      <c r="AB50" s="2" t="s">
        <v>4095</v>
      </c>
      <c r="AC50" s="2">
        <v>20</v>
      </c>
      <c r="AD50" s="2">
        <v>94</v>
      </c>
      <c r="AE50" s="49">
        <v>58.6432</v>
      </c>
      <c r="AF50" s="2">
        <v>24</v>
      </c>
      <c r="AG50" s="102">
        <f>AE50*AC50*AF50*0.0036</f>
        <v>101.3354496</v>
      </c>
      <c r="AH50" s="102">
        <f>AE50*AD50*AF50*0.0036</f>
        <v>476.2766131199999</v>
      </c>
      <c r="AI50" s="2">
        <v>30</v>
      </c>
      <c r="AJ50" s="1">
        <v>12</v>
      </c>
      <c r="AK50" s="1">
        <v>0.81</v>
      </c>
      <c r="AL50" s="1">
        <v>0.71</v>
      </c>
      <c r="AM50" s="117">
        <f>AG50*AI50*AJ50*AK50</f>
        <v>29549.417103360007</v>
      </c>
      <c r="AN50" s="118">
        <f>AH50*AI50*AJ50*AL50</f>
        <v>121736.30231347198</v>
      </c>
      <c r="AO50" s="13" t="s">
        <v>2456</v>
      </c>
    </row>
    <row r="51" spans="1:41" ht="45" customHeight="1">
      <c r="A51" s="1">
        <v>39</v>
      </c>
      <c r="B51" s="1" t="s">
        <v>6</v>
      </c>
      <c r="C51" s="1" t="s">
        <v>6</v>
      </c>
      <c r="D51" s="1">
        <v>3</v>
      </c>
      <c r="E51" s="1" t="s">
        <v>2249</v>
      </c>
      <c r="F51" s="2" t="s">
        <v>2097</v>
      </c>
      <c r="G51" s="16" t="s">
        <v>2511</v>
      </c>
      <c r="H51" s="1" t="s">
        <v>4166</v>
      </c>
      <c r="I51" s="1" t="s">
        <v>4127</v>
      </c>
      <c r="J51" s="63">
        <v>29104391</v>
      </c>
      <c r="K51" s="1" t="s">
        <v>2438</v>
      </c>
      <c r="L51" s="1">
        <v>3447000</v>
      </c>
      <c r="M51" s="1" t="s">
        <v>3735</v>
      </c>
      <c r="N51" s="1" t="s">
        <v>4181</v>
      </c>
      <c r="O51" s="1">
        <v>3428</v>
      </c>
      <c r="P51" s="64">
        <v>43073</v>
      </c>
      <c r="Q51" s="64">
        <v>46724</v>
      </c>
      <c r="R51" s="62" t="s">
        <v>2440</v>
      </c>
      <c r="S51" s="29" t="s">
        <v>2441</v>
      </c>
      <c r="T51" s="9" t="s">
        <v>2443</v>
      </c>
      <c r="U51" s="13" t="s">
        <v>19</v>
      </c>
      <c r="V51" s="13" t="s">
        <v>3200</v>
      </c>
      <c r="W51" s="13">
        <v>2557</v>
      </c>
      <c r="X51" s="60">
        <v>98416.05</v>
      </c>
      <c r="Y51" s="60">
        <v>92283.66</v>
      </c>
      <c r="Z51" s="2" t="s">
        <v>3753</v>
      </c>
      <c r="AA51" s="67">
        <v>43682</v>
      </c>
      <c r="AB51" s="2" t="s">
        <v>3757</v>
      </c>
      <c r="AC51" s="2">
        <v>46</v>
      </c>
      <c r="AD51" s="2">
        <v>114</v>
      </c>
      <c r="AE51" s="49">
        <f>(0.107+0.128+0.14+0.136+0.146)/5</f>
        <v>0.13140000000000002</v>
      </c>
      <c r="AF51" s="2">
        <v>24</v>
      </c>
      <c r="AG51" s="43">
        <f>AE51*AC51*AF51*0.0036</f>
        <v>0.5222361600000001</v>
      </c>
      <c r="AH51" s="43">
        <f>AE51*AD51*AF51*0.0036</f>
        <v>1.29423744</v>
      </c>
      <c r="AI51" s="2">
        <v>30</v>
      </c>
      <c r="AJ51" s="1">
        <v>12</v>
      </c>
      <c r="AK51" s="1">
        <v>0.71</v>
      </c>
      <c r="AL51" s="1">
        <v>0.59</v>
      </c>
      <c r="AM51" s="117">
        <f t="shared" si="0"/>
        <v>133.48356249600002</v>
      </c>
      <c r="AN51" s="118">
        <f t="shared" si="1"/>
        <v>274.896032256</v>
      </c>
      <c r="AO51" s="13" t="s">
        <v>2495</v>
      </c>
    </row>
    <row r="52" spans="1:41" ht="50.25" customHeight="1">
      <c r="A52" s="1">
        <v>40</v>
      </c>
      <c r="B52" s="1" t="s">
        <v>6</v>
      </c>
      <c r="C52" s="1" t="s">
        <v>6</v>
      </c>
      <c r="D52" s="1">
        <v>3</v>
      </c>
      <c r="E52" s="1" t="s">
        <v>2250</v>
      </c>
      <c r="F52" s="2" t="s">
        <v>2098</v>
      </c>
      <c r="G52" s="16" t="s">
        <v>2511</v>
      </c>
      <c r="H52" s="1" t="s">
        <v>4166</v>
      </c>
      <c r="I52" s="1" t="s">
        <v>4127</v>
      </c>
      <c r="J52" s="63">
        <v>29104391</v>
      </c>
      <c r="K52" s="1" t="s">
        <v>2438</v>
      </c>
      <c r="L52" s="1">
        <v>3447000</v>
      </c>
      <c r="M52" s="1" t="s">
        <v>3735</v>
      </c>
      <c r="N52" s="1" t="s">
        <v>4181</v>
      </c>
      <c r="O52" s="1">
        <v>3428</v>
      </c>
      <c r="P52" s="64">
        <v>43073</v>
      </c>
      <c r="Q52" s="64">
        <v>46724</v>
      </c>
      <c r="R52" s="62" t="s">
        <v>2440</v>
      </c>
      <c r="S52" s="29" t="s">
        <v>2441</v>
      </c>
      <c r="T52" s="9" t="s">
        <v>2443</v>
      </c>
      <c r="U52" s="13" t="s">
        <v>20</v>
      </c>
      <c r="V52" s="13" t="s">
        <v>3201</v>
      </c>
      <c r="W52" s="13">
        <v>2558</v>
      </c>
      <c r="X52" s="60">
        <v>98558.14</v>
      </c>
      <c r="Y52" s="60">
        <v>92030.15</v>
      </c>
      <c r="Z52" s="2" t="s">
        <v>4046</v>
      </c>
      <c r="AA52" s="67"/>
      <c r="AB52" s="2"/>
      <c r="AC52" s="13"/>
      <c r="AD52" s="13"/>
      <c r="AE52" s="13"/>
      <c r="AF52" s="2"/>
      <c r="AG52" s="43"/>
      <c r="AH52" s="43"/>
      <c r="AI52" s="2"/>
      <c r="AJ52" s="1"/>
      <c r="AK52" s="1"/>
      <c r="AL52" s="1"/>
      <c r="AM52" s="117">
        <f>AVERAGE(AM53:AM54)</f>
        <v>106716.41187839997</v>
      </c>
      <c r="AN52" s="117">
        <f>AVERAGE(AN53:AN54)</f>
        <v>72259.36770815999</v>
      </c>
      <c r="AO52" s="13" t="s">
        <v>2478</v>
      </c>
    </row>
    <row r="53" spans="1:41" ht="55.5" customHeight="1">
      <c r="A53" s="1"/>
      <c r="B53" s="1"/>
      <c r="C53" s="1"/>
      <c r="D53" s="1"/>
      <c r="E53" s="1"/>
      <c r="F53" s="2"/>
      <c r="G53" s="16"/>
      <c r="H53" s="1"/>
      <c r="I53" s="1"/>
      <c r="J53" s="63"/>
      <c r="K53" s="1"/>
      <c r="L53" s="1"/>
      <c r="M53" s="1"/>
      <c r="N53" s="1"/>
      <c r="O53" s="1"/>
      <c r="P53" s="64"/>
      <c r="Q53" s="64"/>
      <c r="R53" s="62"/>
      <c r="S53" s="29"/>
      <c r="T53" s="9"/>
      <c r="U53" s="13"/>
      <c r="V53" s="13"/>
      <c r="W53" s="13"/>
      <c r="X53" s="60"/>
      <c r="Y53" s="60"/>
      <c r="Z53" s="2" t="s">
        <v>3753</v>
      </c>
      <c r="AA53" s="67">
        <v>43658</v>
      </c>
      <c r="AB53" s="2" t="s">
        <v>2460</v>
      </c>
      <c r="AC53" s="13">
        <v>150</v>
      </c>
      <c r="AD53" s="13">
        <v>85</v>
      </c>
      <c r="AE53" s="96">
        <f>(65.689+67.512+63.866+59.308+59.397)/5</f>
        <v>63.154399999999995</v>
      </c>
      <c r="AF53" s="2">
        <v>24</v>
      </c>
      <c r="AG53" s="102">
        <f>AE53*AC53*AF53*0.0036</f>
        <v>818.4810239999999</v>
      </c>
      <c r="AH53" s="102">
        <f>AE53*AD53*AF53*0.0036</f>
        <v>463.8059136</v>
      </c>
      <c r="AI53" s="2">
        <v>30</v>
      </c>
      <c r="AJ53" s="1">
        <v>12</v>
      </c>
      <c r="AK53" s="1">
        <v>0.57</v>
      </c>
      <c r="AL53" s="1">
        <v>0.67</v>
      </c>
      <c r="AM53" s="127">
        <f>AG53*AI53*AJ53*AK53</f>
        <v>167952.30612479994</v>
      </c>
      <c r="AN53" s="128">
        <f>AH53*AI53*AJ53*AL53</f>
        <v>111869.98636031999</v>
      </c>
      <c r="AO53" s="13"/>
    </row>
    <row r="54" spans="1:41" ht="58.5" customHeight="1">
      <c r="A54" s="1"/>
      <c r="B54" s="1"/>
      <c r="C54" s="1"/>
      <c r="D54" s="1"/>
      <c r="E54" s="1"/>
      <c r="F54" s="2"/>
      <c r="G54" s="16"/>
      <c r="H54" s="1"/>
      <c r="I54" s="1"/>
      <c r="J54" s="63"/>
      <c r="K54" s="1"/>
      <c r="L54" s="1"/>
      <c r="M54" s="1"/>
      <c r="N54" s="1"/>
      <c r="O54" s="1"/>
      <c r="P54" s="64"/>
      <c r="Q54" s="64"/>
      <c r="R54" s="62"/>
      <c r="S54" s="29"/>
      <c r="T54" s="9"/>
      <c r="U54" s="13"/>
      <c r="V54" s="13"/>
      <c r="W54" s="13"/>
      <c r="X54" s="60"/>
      <c r="Y54" s="60"/>
      <c r="Z54" s="2" t="s">
        <v>4092</v>
      </c>
      <c r="AA54" s="67">
        <v>43706</v>
      </c>
      <c r="AB54" s="2" t="s">
        <v>2477</v>
      </c>
      <c r="AC54" s="13">
        <v>134</v>
      </c>
      <c r="AD54" s="13">
        <v>84</v>
      </c>
      <c r="AE54" s="13">
        <v>17.6</v>
      </c>
      <c r="AF54" s="2">
        <v>24</v>
      </c>
      <c r="AG54" s="102">
        <f>AE54*AC54*AF54*0.0036</f>
        <v>203.76576000000003</v>
      </c>
      <c r="AH54" s="102">
        <f>AE54*AD54*AF54*0.0036</f>
        <v>127.73376000000002</v>
      </c>
      <c r="AI54" s="2">
        <v>30</v>
      </c>
      <c r="AJ54" s="1">
        <v>12</v>
      </c>
      <c r="AK54" s="1">
        <v>0.62</v>
      </c>
      <c r="AL54" s="1">
        <v>0.71</v>
      </c>
      <c r="AM54" s="127">
        <f>AG54*AI54*AJ54*AK54</f>
        <v>45480.517632</v>
      </c>
      <c r="AN54" s="128">
        <f>AH54*AI54*AJ54*AL54</f>
        <v>32648.749056</v>
      </c>
      <c r="AO54" s="13"/>
    </row>
    <row r="55" spans="1:41" ht="39" customHeight="1">
      <c r="A55" s="1">
        <v>41</v>
      </c>
      <c r="B55" s="1" t="s">
        <v>6</v>
      </c>
      <c r="C55" s="1" t="s">
        <v>6</v>
      </c>
      <c r="D55" s="1">
        <v>3</v>
      </c>
      <c r="E55" s="1" t="s">
        <v>2251</v>
      </c>
      <c r="F55" s="2" t="s">
        <v>4173</v>
      </c>
      <c r="G55" s="16" t="s">
        <v>2510</v>
      </c>
      <c r="H55" s="1" t="s">
        <v>4166</v>
      </c>
      <c r="I55" s="1" t="s">
        <v>4127</v>
      </c>
      <c r="J55" s="63">
        <v>29104391</v>
      </c>
      <c r="K55" s="1" t="s">
        <v>2438</v>
      </c>
      <c r="L55" s="1">
        <v>3447000</v>
      </c>
      <c r="M55" s="1" t="s">
        <v>3735</v>
      </c>
      <c r="N55" s="1" t="s">
        <v>4181</v>
      </c>
      <c r="O55" s="1">
        <v>3428</v>
      </c>
      <c r="P55" s="64">
        <v>43073</v>
      </c>
      <c r="Q55" s="64">
        <v>46724</v>
      </c>
      <c r="R55" s="62" t="s">
        <v>2440</v>
      </c>
      <c r="S55" s="1" t="s">
        <v>2442</v>
      </c>
      <c r="T55" s="9" t="s">
        <v>2443</v>
      </c>
      <c r="U55" s="13" t="s">
        <v>21</v>
      </c>
      <c r="V55" s="13" t="s">
        <v>3202</v>
      </c>
      <c r="W55" s="13">
        <v>2561</v>
      </c>
      <c r="X55" s="60">
        <v>98472.18</v>
      </c>
      <c r="Y55" s="60">
        <v>90470.52</v>
      </c>
      <c r="Z55" s="2" t="s">
        <v>4046</v>
      </c>
      <c r="AA55" s="67"/>
      <c r="AB55" s="2"/>
      <c r="AC55" s="13"/>
      <c r="AD55" s="13"/>
      <c r="AE55" s="13"/>
      <c r="AF55" s="2"/>
      <c r="AG55" s="43"/>
      <c r="AH55" s="43"/>
      <c r="AI55" s="2"/>
      <c r="AJ55" s="1"/>
      <c r="AK55" s="1"/>
      <c r="AL55" s="1"/>
      <c r="AM55" s="117">
        <f>AVERAGE(AM56:AM57)</f>
        <v>403147.0360166399</v>
      </c>
      <c r="AN55" s="117">
        <f>AVERAGE(AN56:AN57)</f>
        <v>367949.085732864</v>
      </c>
      <c r="AO55" s="13" t="s">
        <v>2478</v>
      </c>
    </row>
    <row r="56" spans="1:41" ht="39.75" customHeight="1">
      <c r="A56" s="1"/>
      <c r="B56" s="1"/>
      <c r="C56" s="1"/>
      <c r="D56" s="1"/>
      <c r="E56" s="1"/>
      <c r="F56" s="2"/>
      <c r="G56" s="16"/>
      <c r="H56" s="1"/>
      <c r="I56" s="1"/>
      <c r="J56" s="63"/>
      <c r="K56" s="1"/>
      <c r="L56" s="1"/>
      <c r="M56" s="1"/>
      <c r="N56" s="1"/>
      <c r="O56" s="1"/>
      <c r="P56" s="64"/>
      <c r="Q56" s="64"/>
      <c r="R56" s="62"/>
      <c r="S56" s="1"/>
      <c r="T56" s="9"/>
      <c r="U56" s="13"/>
      <c r="V56" s="13"/>
      <c r="W56" s="13"/>
      <c r="X56" s="60"/>
      <c r="Y56" s="60"/>
      <c r="Z56" s="2" t="s">
        <v>3753</v>
      </c>
      <c r="AA56" s="67">
        <v>43655</v>
      </c>
      <c r="AB56" s="2" t="s">
        <v>2496</v>
      </c>
      <c r="AC56" s="13">
        <v>314</v>
      </c>
      <c r="AD56" s="13">
        <v>188</v>
      </c>
      <c r="AE56" s="13">
        <f>(71.329+72.538+83.539+94.419+106.199)/5</f>
        <v>85.6048</v>
      </c>
      <c r="AF56" s="2">
        <v>24</v>
      </c>
      <c r="AG56" s="102">
        <f>AE56*AC56*AF56*0.0036</f>
        <v>2322.42398208</v>
      </c>
      <c r="AH56" s="102">
        <f>AE56*AD56*AF56*0.0036</f>
        <v>1390.4958873599999</v>
      </c>
      <c r="AI56" s="2">
        <v>30</v>
      </c>
      <c r="AJ56" s="1">
        <v>12</v>
      </c>
      <c r="AK56" s="1">
        <v>0.6</v>
      </c>
      <c r="AL56" s="1">
        <v>0.68</v>
      </c>
      <c r="AM56" s="127">
        <f>AG56*AI56*AJ56*AK56</f>
        <v>501643.58012927993</v>
      </c>
      <c r="AN56" s="128">
        <f>AH56*AI56*AJ56*AL56</f>
        <v>340393.39322572795</v>
      </c>
      <c r="AO56" s="13"/>
    </row>
    <row r="57" spans="1:41" ht="43.5" customHeight="1">
      <c r="A57" s="1"/>
      <c r="B57" s="1"/>
      <c r="C57" s="1"/>
      <c r="D57" s="1"/>
      <c r="E57" s="1"/>
      <c r="F57" s="2"/>
      <c r="G57" s="16"/>
      <c r="H57" s="1"/>
      <c r="I57" s="1"/>
      <c r="J57" s="63"/>
      <c r="K57" s="1"/>
      <c r="L57" s="1"/>
      <c r="M57" s="1"/>
      <c r="N57" s="1"/>
      <c r="O57" s="1"/>
      <c r="P57" s="64"/>
      <c r="Q57" s="64"/>
      <c r="R57" s="62"/>
      <c r="S57" s="1"/>
      <c r="T57" s="9"/>
      <c r="U57" s="13"/>
      <c r="V57" s="13"/>
      <c r="W57" s="13"/>
      <c r="X57" s="60"/>
      <c r="Y57" s="60"/>
      <c r="Z57" s="2" t="s">
        <v>4093</v>
      </c>
      <c r="AA57" s="67">
        <v>43706</v>
      </c>
      <c r="AB57" s="2" t="s">
        <v>2411</v>
      </c>
      <c r="AC57" s="13">
        <v>404</v>
      </c>
      <c r="AD57" s="13">
        <v>390</v>
      </c>
      <c r="AE57" s="13">
        <v>41.8</v>
      </c>
      <c r="AF57" s="2">
        <v>24</v>
      </c>
      <c r="AG57" s="102">
        <f>AE57*AC57*AF57*0.0036</f>
        <v>1459.0540799999997</v>
      </c>
      <c r="AH57" s="102">
        <f>AE57*AD57*AF57*0.0036</f>
        <v>1408.4927999999998</v>
      </c>
      <c r="AI57" s="2">
        <v>30</v>
      </c>
      <c r="AJ57" s="1">
        <v>12</v>
      </c>
      <c r="AK57" s="1">
        <v>0.58</v>
      </c>
      <c r="AL57" s="1">
        <v>0.78</v>
      </c>
      <c r="AM57" s="127">
        <f>AG57*AI57*AJ57*AK57</f>
        <v>304650.49190399994</v>
      </c>
      <c r="AN57" s="128">
        <f>AH57*AI57*AJ57*AL57</f>
        <v>395504.77823999996</v>
      </c>
      <c r="AO57" s="13"/>
    </row>
    <row r="58" spans="1:41" ht="48" customHeight="1">
      <c r="A58" s="1">
        <v>42</v>
      </c>
      <c r="B58" s="1" t="s">
        <v>6</v>
      </c>
      <c r="C58" s="1" t="s">
        <v>6</v>
      </c>
      <c r="D58" s="1">
        <v>3</v>
      </c>
      <c r="E58" s="1" t="s">
        <v>2252</v>
      </c>
      <c r="F58" s="2" t="s">
        <v>2096</v>
      </c>
      <c r="G58" s="16" t="s">
        <v>2510</v>
      </c>
      <c r="H58" s="1" t="s">
        <v>4166</v>
      </c>
      <c r="I58" s="1" t="s">
        <v>4127</v>
      </c>
      <c r="J58" s="63">
        <v>29104391</v>
      </c>
      <c r="K58" s="1" t="s">
        <v>2438</v>
      </c>
      <c r="L58" s="1">
        <v>3447000</v>
      </c>
      <c r="M58" s="1" t="s">
        <v>3735</v>
      </c>
      <c r="N58" s="1" t="s">
        <v>4181</v>
      </c>
      <c r="O58" s="1">
        <v>3428</v>
      </c>
      <c r="P58" s="64">
        <v>43073</v>
      </c>
      <c r="Q58" s="64">
        <v>46724</v>
      </c>
      <c r="R58" s="62" t="s">
        <v>2440</v>
      </c>
      <c r="S58" s="1" t="s">
        <v>2442</v>
      </c>
      <c r="T58" s="9" t="s">
        <v>2443</v>
      </c>
      <c r="U58" s="13" t="s">
        <v>21</v>
      </c>
      <c r="V58" s="13" t="s">
        <v>3202</v>
      </c>
      <c r="W58" s="13">
        <v>2561</v>
      </c>
      <c r="X58" s="60">
        <v>98472.18</v>
      </c>
      <c r="Y58" s="60">
        <v>90470.52</v>
      </c>
      <c r="Z58" s="2" t="s">
        <v>3776</v>
      </c>
      <c r="AA58" s="13"/>
      <c r="AB58" s="13"/>
      <c r="AC58" s="13"/>
      <c r="AD58" s="13"/>
      <c r="AE58" s="13"/>
      <c r="AF58" s="2"/>
      <c r="AG58" s="43"/>
      <c r="AH58" s="43"/>
      <c r="AI58" s="2"/>
      <c r="AJ58" s="1"/>
      <c r="AK58" s="1"/>
      <c r="AL58" s="1"/>
      <c r="AM58" s="117">
        <v>39.28656220143177</v>
      </c>
      <c r="AN58" s="118">
        <v>69.74672350355746</v>
      </c>
      <c r="AO58" s="13" t="s">
        <v>2478</v>
      </c>
    </row>
    <row r="59" spans="1:41" ht="38.25">
      <c r="A59" s="1">
        <v>43</v>
      </c>
      <c r="B59" s="1" t="s">
        <v>6</v>
      </c>
      <c r="C59" s="1" t="s">
        <v>6</v>
      </c>
      <c r="D59" s="1">
        <v>3</v>
      </c>
      <c r="E59" s="1" t="s">
        <v>2125</v>
      </c>
      <c r="F59" s="2" t="s">
        <v>2128</v>
      </c>
      <c r="G59" s="16" t="s">
        <v>2510</v>
      </c>
      <c r="H59" s="1" t="s">
        <v>4166</v>
      </c>
      <c r="I59" s="1" t="s">
        <v>4127</v>
      </c>
      <c r="J59" s="63">
        <v>29104391</v>
      </c>
      <c r="K59" s="1" t="s">
        <v>2438</v>
      </c>
      <c r="L59" s="1">
        <v>3447000</v>
      </c>
      <c r="M59" s="1" t="s">
        <v>3735</v>
      </c>
      <c r="N59" s="1" t="s">
        <v>4181</v>
      </c>
      <c r="O59" s="1">
        <v>3428</v>
      </c>
      <c r="P59" s="64">
        <v>43073</v>
      </c>
      <c r="Q59" s="64">
        <v>46724</v>
      </c>
      <c r="R59" s="62" t="s">
        <v>2440</v>
      </c>
      <c r="S59" s="1" t="s">
        <v>2442</v>
      </c>
      <c r="T59" s="9" t="s">
        <v>2443</v>
      </c>
      <c r="U59" s="13" t="s">
        <v>3204</v>
      </c>
      <c r="V59" s="13" t="s">
        <v>3203</v>
      </c>
      <c r="W59" s="13">
        <v>2557</v>
      </c>
      <c r="X59" s="60">
        <v>98807.48</v>
      </c>
      <c r="Y59" s="60">
        <v>91704.89</v>
      </c>
      <c r="Z59" s="2" t="s">
        <v>3741</v>
      </c>
      <c r="AA59" s="13"/>
      <c r="AB59" s="13"/>
      <c r="AC59" s="13"/>
      <c r="AD59" s="13"/>
      <c r="AE59" s="13"/>
      <c r="AF59" s="2"/>
      <c r="AG59" s="43"/>
      <c r="AH59" s="43"/>
      <c r="AI59" s="2"/>
      <c r="AJ59" s="1"/>
      <c r="AK59" s="1"/>
      <c r="AL59" s="1"/>
      <c r="AM59" s="44">
        <f>AG59*AI59*AJ59*AK59</f>
        <v>0</v>
      </c>
      <c r="AN59" s="45">
        <f>AH59*AI59*AJ59*AL59</f>
        <v>0</v>
      </c>
      <c r="AO59" s="2" t="s">
        <v>2457</v>
      </c>
    </row>
    <row r="60" spans="1:41" ht="25.5">
      <c r="A60" s="1">
        <v>44</v>
      </c>
      <c r="B60" s="1" t="s">
        <v>6</v>
      </c>
      <c r="C60" s="1" t="s">
        <v>6</v>
      </c>
      <c r="D60" s="1">
        <v>3</v>
      </c>
      <c r="E60" s="1" t="s">
        <v>2126</v>
      </c>
      <c r="F60" s="2" t="s">
        <v>2129</v>
      </c>
      <c r="G60" s="16" t="s">
        <v>2511</v>
      </c>
      <c r="H60" s="1" t="s">
        <v>4166</v>
      </c>
      <c r="I60" s="1" t="s">
        <v>4127</v>
      </c>
      <c r="J60" s="63">
        <v>29104391</v>
      </c>
      <c r="K60" s="1" t="s">
        <v>2438</v>
      </c>
      <c r="L60" s="1">
        <v>3447000</v>
      </c>
      <c r="M60" s="1" t="s">
        <v>3735</v>
      </c>
      <c r="N60" s="1" t="s">
        <v>4181</v>
      </c>
      <c r="O60" s="1">
        <v>3428</v>
      </c>
      <c r="P60" s="64">
        <v>43073</v>
      </c>
      <c r="Q60" s="64">
        <v>46724</v>
      </c>
      <c r="R60" s="62" t="s">
        <v>2440</v>
      </c>
      <c r="S60" s="85" t="s">
        <v>2441</v>
      </c>
      <c r="T60" s="9" t="s">
        <v>2443</v>
      </c>
      <c r="U60" s="13" t="s">
        <v>3205</v>
      </c>
      <c r="V60" s="13" t="s">
        <v>3206</v>
      </c>
      <c r="W60" s="13">
        <v>2557</v>
      </c>
      <c r="X60" s="60">
        <v>99084.66</v>
      </c>
      <c r="Y60" s="60">
        <v>91910.88</v>
      </c>
      <c r="Z60" s="2" t="s">
        <v>3741</v>
      </c>
      <c r="AA60" s="13"/>
      <c r="AB60" s="13"/>
      <c r="AC60" s="13"/>
      <c r="AD60" s="13"/>
      <c r="AE60" s="13"/>
      <c r="AF60" s="2"/>
      <c r="AG60" s="43"/>
      <c r="AH60" s="43"/>
      <c r="AI60" s="2"/>
      <c r="AJ60" s="1"/>
      <c r="AK60" s="1"/>
      <c r="AL60" s="1"/>
      <c r="AM60" s="44">
        <f>AG60*AI60*AJ60*AK60</f>
        <v>0</v>
      </c>
      <c r="AN60" s="45">
        <f>AH60*AI60*AJ60*AL60</f>
        <v>0</v>
      </c>
      <c r="AO60" s="2" t="s">
        <v>2457</v>
      </c>
    </row>
    <row r="61" spans="1:41" ht="44.25" customHeight="1">
      <c r="A61" s="1">
        <v>45</v>
      </c>
      <c r="B61" s="1" t="s">
        <v>6</v>
      </c>
      <c r="C61" s="1" t="s">
        <v>6</v>
      </c>
      <c r="D61" s="1">
        <v>3</v>
      </c>
      <c r="E61" s="1" t="s">
        <v>2127</v>
      </c>
      <c r="F61" s="2" t="s">
        <v>2130</v>
      </c>
      <c r="G61" s="16" t="s">
        <v>2510</v>
      </c>
      <c r="H61" s="1" t="s">
        <v>4166</v>
      </c>
      <c r="I61" s="1" t="s">
        <v>4127</v>
      </c>
      <c r="J61" s="63">
        <v>29104391</v>
      </c>
      <c r="K61" s="1" t="s">
        <v>2438</v>
      </c>
      <c r="L61" s="1">
        <v>3447000</v>
      </c>
      <c r="M61" s="1" t="s">
        <v>3735</v>
      </c>
      <c r="N61" s="1" t="s">
        <v>4181</v>
      </c>
      <c r="O61" s="1">
        <v>3428</v>
      </c>
      <c r="P61" s="64">
        <v>43073</v>
      </c>
      <c r="Q61" s="64">
        <v>46724</v>
      </c>
      <c r="R61" s="62" t="s">
        <v>2440</v>
      </c>
      <c r="S61" s="1" t="s">
        <v>2442</v>
      </c>
      <c r="T61" s="9" t="s">
        <v>2443</v>
      </c>
      <c r="U61" s="13" t="s">
        <v>3207</v>
      </c>
      <c r="V61" s="13" t="s">
        <v>3208</v>
      </c>
      <c r="W61" s="13">
        <v>2556</v>
      </c>
      <c r="X61" s="60">
        <v>99861.5</v>
      </c>
      <c r="Y61" s="60">
        <v>91604.99</v>
      </c>
      <c r="Z61" s="2" t="s">
        <v>3888</v>
      </c>
      <c r="AA61" s="13"/>
      <c r="AB61" s="13"/>
      <c r="AC61" s="13"/>
      <c r="AD61" s="13"/>
      <c r="AE61" s="13"/>
      <c r="AF61" s="2"/>
      <c r="AG61" s="43"/>
      <c r="AH61" s="43"/>
      <c r="AI61" s="2"/>
      <c r="AJ61" s="1"/>
      <c r="AK61" s="1"/>
      <c r="AL61" s="1"/>
      <c r="AM61" s="44">
        <f>AG61*AI61*AJ61*AK61</f>
        <v>0</v>
      </c>
      <c r="AN61" s="45">
        <f>AH61*AI61*AJ61*AL61</f>
        <v>0</v>
      </c>
      <c r="AO61" s="2" t="s">
        <v>2457</v>
      </c>
    </row>
    <row r="62" spans="1:41" ht="12.75">
      <c r="A62" s="226" t="s">
        <v>2515</v>
      </c>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119">
        <f>'Subcuencas río Tunjuelo'!AN222</f>
        <v>1190911.8031171546</v>
      </c>
      <c r="AN62" s="119">
        <f>'Subcuencas río Tunjuelo'!AO222</f>
        <v>975076.4473277596</v>
      </c>
      <c r="AO62" s="13"/>
    </row>
    <row r="63" spans="1:41" ht="12.75">
      <c r="A63" s="227" t="s">
        <v>2516</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73">
        <f>'Subcuencas río Tunjuelo'!AN223</f>
        <v>1617588.3134275547</v>
      </c>
      <c r="AN63" s="73">
        <f>'Subcuencas río Tunjuelo'!AO223</f>
        <v>1683325.0404797595</v>
      </c>
      <c r="AO63" s="13"/>
    </row>
    <row r="64" spans="1:41" ht="12.75">
      <c r="A64" s="226" t="s">
        <v>2517</v>
      </c>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119">
        <f>'Subcuencas río Tunjuelo'!AN253</f>
        <v>220353.71943102934</v>
      </c>
      <c r="AN64" s="119">
        <f>'Subcuencas río Tunjuelo'!AO253</f>
        <v>205221.27875002046</v>
      </c>
      <c r="AO64" s="13"/>
    </row>
    <row r="65" spans="1:41" ht="12.75">
      <c r="A65" s="227" t="s">
        <v>2518</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73">
        <f>'Subcuencas río Tunjuelo'!AN254</f>
        <v>220353.71943102934</v>
      </c>
      <c r="AN65" s="73">
        <f>'Subcuencas río Tunjuelo'!AO254</f>
        <v>205221.27875002046</v>
      </c>
      <c r="AO65" s="13"/>
    </row>
    <row r="66" spans="1:41" ht="12.75">
      <c r="A66" s="226" t="s">
        <v>2519</v>
      </c>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119">
        <f>'Subcuencas río Tunjuelo'!AN96+'Subcuencas río Tunjuelo'!AN113</f>
        <v>39401.987328</v>
      </c>
      <c r="AN66" s="119">
        <f>'Subcuencas río Tunjuelo'!AO96+'Subcuencas río Tunjuelo'!AO113</f>
        <v>44459.964288</v>
      </c>
      <c r="AO66" s="13"/>
    </row>
    <row r="67" spans="1:41" ht="12.75">
      <c r="A67" s="227" t="s">
        <v>2520</v>
      </c>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73">
        <f>'Subcuencas río Tunjuelo'!AN97+'Subcuencas río Tunjuelo'!AN114</f>
        <v>166096.5170688</v>
      </c>
      <c r="AN67" s="73">
        <f>'Subcuencas río Tunjuelo'!AO97+'Subcuencas río Tunjuelo'!AO114</f>
        <v>150919.5504384</v>
      </c>
      <c r="AO67" s="13"/>
    </row>
    <row r="68" spans="1:41" ht="12.75">
      <c r="A68" s="226" t="s">
        <v>2521</v>
      </c>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119">
        <f>'Subcuencas río Tunjuelo'!AN308</f>
        <v>110344.21200681581</v>
      </c>
      <c r="AN68" s="119">
        <f>'Subcuencas río Tunjuelo'!AO308</f>
        <v>94947.95949057463</v>
      </c>
      <c r="AO68" s="13"/>
    </row>
    <row r="69" spans="1:41" ht="12.75">
      <c r="A69" s="227" t="s">
        <v>2522</v>
      </c>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73">
        <f>'Subcuencas río Tunjuelo'!AN309</f>
        <v>139667.8688132158</v>
      </c>
      <c r="AN69" s="73">
        <f>'Subcuencas río Tunjuelo'!AO309</f>
        <v>123357.59726337466</v>
      </c>
      <c r="AO69" s="13"/>
    </row>
    <row r="70" spans="1:41" ht="12.75">
      <c r="A70" s="226" t="s">
        <v>2523</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119">
        <f>'Subcuencas río Tunjuelo'!AN140</f>
        <v>15616.639704472998</v>
      </c>
      <c r="AN70" s="119">
        <f>'Subcuencas río Tunjuelo'!AO140</f>
        <v>576978.2680661621</v>
      </c>
      <c r="AO70" s="13"/>
    </row>
    <row r="71" spans="1:41" ht="12.75">
      <c r="A71" s="227" t="s">
        <v>2524</v>
      </c>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73">
        <f>'Subcuencas río Tunjuelo'!AN141</f>
        <v>31787.268404633</v>
      </c>
      <c r="AN71" s="73">
        <f>'Subcuencas río Tunjuelo'!AO141</f>
        <v>593005.1104392821</v>
      </c>
      <c r="AO71" s="13"/>
    </row>
    <row r="72" spans="1:41" ht="12.75">
      <c r="A72" s="226" t="s">
        <v>2414</v>
      </c>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119">
        <f>AM35+AM36+AM40+AM44+AM45+AM46+AM48+AM49+AM50+AM51+AM52+AM55+AM58+AM62+AM64+AM66+AM68+AM70</f>
        <v>2740707.4968545283</v>
      </c>
      <c r="AN72" s="119">
        <f>AN35+AN36+AN40+AN44+AN45+AN46+AN48+AN49+AN50+AN51+AN52+AN55+AN58+AN62+AN64+AN66+AN68+AN70</f>
        <v>2844630.3075010064</v>
      </c>
      <c r="AO72" s="13"/>
    </row>
    <row r="73" spans="1:41" ht="12.75">
      <c r="A73" s="227" t="s">
        <v>2415</v>
      </c>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73">
        <f>SUM(AM30:AM61)-AM53-AM54-AM56-AM57+AM63+AM65+AM67+AM69+AM71+'Subcuencas río Tunjuelo'!AN312</f>
        <v>3541138.9229002674</v>
      </c>
      <c r="AN73" s="73">
        <f>SUM(AN30:AN61)-AN53-AN54-AN56-AN57+AN63+AN65+AN67+AN69+AN71+'Subcuencas río Tunjuelo'!AO312</f>
        <v>3872513.252410937</v>
      </c>
      <c r="AO73" s="13"/>
    </row>
    <row r="74" spans="1:41" ht="25.5">
      <c r="A74" s="35">
        <v>46</v>
      </c>
      <c r="B74" s="35" t="s">
        <v>6</v>
      </c>
      <c r="C74" s="35" t="s">
        <v>6</v>
      </c>
      <c r="D74" s="82">
        <v>4</v>
      </c>
      <c r="E74" s="82" t="s">
        <v>749</v>
      </c>
      <c r="F74" s="69" t="s">
        <v>2094</v>
      </c>
      <c r="G74" s="138" t="s">
        <v>2510</v>
      </c>
      <c r="H74" s="35" t="s">
        <v>4166</v>
      </c>
      <c r="I74" s="35" t="s">
        <v>4127</v>
      </c>
      <c r="J74" s="139">
        <v>29104391</v>
      </c>
      <c r="K74" s="35" t="s">
        <v>2438</v>
      </c>
      <c r="L74" s="35">
        <v>3447000</v>
      </c>
      <c r="M74" s="35" t="s">
        <v>3735</v>
      </c>
      <c r="N74" s="1" t="s">
        <v>4181</v>
      </c>
      <c r="O74" s="35">
        <v>3428</v>
      </c>
      <c r="P74" s="140">
        <v>43073</v>
      </c>
      <c r="Q74" s="140">
        <v>46724</v>
      </c>
      <c r="R74" s="62" t="s">
        <v>2440</v>
      </c>
      <c r="S74" s="141" t="s">
        <v>2441</v>
      </c>
      <c r="T74" s="142" t="s">
        <v>2444</v>
      </c>
      <c r="U74" s="82" t="s">
        <v>22</v>
      </c>
      <c r="V74" s="82" t="s">
        <v>3209</v>
      </c>
      <c r="W74" s="82">
        <v>2556</v>
      </c>
      <c r="X74" s="143">
        <v>99967.43</v>
      </c>
      <c r="Y74" s="143">
        <v>91701.11</v>
      </c>
      <c r="Z74" s="2" t="s">
        <v>4046</v>
      </c>
      <c r="AA74" s="104"/>
      <c r="AB74" s="82"/>
      <c r="AC74" s="82"/>
      <c r="AD74" s="82"/>
      <c r="AE74" s="82"/>
      <c r="AF74" s="69"/>
      <c r="AG74" s="95"/>
      <c r="AH74" s="95"/>
      <c r="AI74" s="69"/>
      <c r="AJ74" s="35"/>
      <c r="AK74" s="35"/>
      <c r="AL74" s="35"/>
      <c r="AM74" s="117">
        <f>AVERAGE(AM75:AM76)</f>
        <v>162166.99422412802</v>
      </c>
      <c r="AN74" s="117">
        <f>AVERAGE(AN75:AN76)</f>
        <v>47509.6368384</v>
      </c>
      <c r="AO74" s="82" t="s">
        <v>2495</v>
      </c>
    </row>
    <row r="75" spans="1:41" ht="25.5">
      <c r="A75" s="35"/>
      <c r="B75" s="35"/>
      <c r="C75" s="35"/>
      <c r="D75" s="82"/>
      <c r="E75" s="82"/>
      <c r="F75" s="69"/>
      <c r="G75" s="138"/>
      <c r="H75" s="35"/>
      <c r="I75" s="35"/>
      <c r="J75" s="139"/>
      <c r="K75" s="35"/>
      <c r="L75" s="35"/>
      <c r="M75" s="35"/>
      <c r="N75" s="35"/>
      <c r="O75" s="35"/>
      <c r="P75" s="140"/>
      <c r="Q75" s="140"/>
      <c r="R75" s="62"/>
      <c r="S75" s="141"/>
      <c r="T75" s="142"/>
      <c r="U75" s="82"/>
      <c r="V75" s="82"/>
      <c r="W75" s="82"/>
      <c r="X75" s="143"/>
      <c r="Y75" s="143"/>
      <c r="Z75" s="69" t="s">
        <v>3753</v>
      </c>
      <c r="AA75" s="104">
        <v>43661</v>
      </c>
      <c r="AB75" s="82" t="s">
        <v>2565</v>
      </c>
      <c r="AC75" s="82">
        <v>1052</v>
      </c>
      <c r="AD75" s="82">
        <v>436</v>
      </c>
      <c r="AE75" s="133">
        <f>((8.376+7.992+8.378+8.568+8.337)/5)</f>
        <v>8.3302</v>
      </c>
      <c r="AF75" s="69">
        <v>24</v>
      </c>
      <c r="AG75" s="95">
        <f>AE75*AC75*AF75*0.0036</f>
        <v>757.1552025599999</v>
      </c>
      <c r="AH75" s="95">
        <f>AE75*AD75*AF75*0.0036</f>
        <v>313.80196608</v>
      </c>
      <c r="AI75" s="69">
        <v>30</v>
      </c>
      <c r="AJ75" s="35">
        <v>12</v>
      </c>
      <c r="AK75" s="35">
        <v>0.66</v>
      </c>
      <c r="AL75" s="35">
        <v>0.5</v>
      </c>
      <c r="AM75" s="127">
        <f aca="true" t="shared" si="2" ref="AM75:AM84">AG75*AI75*AJ75*AK75</f>
        <v>179900.076128256</v>
      </c>
      <c r="AN75" s="128">
        <f aca="true" t="shared" si="3" ref="AN75:AN84">AH75*AI75*AJ75*AL75</f>
        <v>56484.3538944</v>
      </c>
      <c r="AO75" s="82"/>
    </row>
    <row r="76" spans="1:41" ht="34.5" customHeight="1">
      <c r="A76" s="35"/>
      <c r="B76" s="35"/>
      <c r="C76" s="35"/>
      <c r="D76" s="82"/>
      <c r="E76" s="82"/>
      <c r="F76" s="69"/>
      <c r="G76" s="138"/>
      <c r="H76" s="35"/>
      <c r="I76" s="35"/>
      <c r="J76" s="139"/>
      <c r="K76" s="35"/>
      <c r="L76" s="35"/>
      <c r="M76" s="35"/>
      <c r="N76" s="35"/>
      <c r="O76" s="35"/>
      <c r="P76" s="140"/>
      <c r="Q76" s="140"/>
      <c r="R76" s="62"/>
      <c r="S76" s="141"/>
      <c r="T76" s="142"/>
      <c r="U76" s="82"/>
      <c r="V76" s="82"/>
      <c r="W76" s="82"/>
      <c r="X76" s="143"/>
      <c r="Y76" s="143"/>
      <c r="Z76" s="69" t="s">
        <v>4012</v>
      </c>
      <c r="AA76" s="104">
        <v>43642</v>
      </c>
      <c r="AB76" s="82" t="s">
        <v>2531</v>
      </c>
      <c r="AC76" s="82">
        <v>802</v>
      </c>
      <c r="AD76" s="82">
        <v>272</v>
      </c>
      <c r="AE76" s="82">
        <v>7.720000000000001</v>
      </c>
      <c r="AF76" s="69">
        <v>24</v>
      </c>
      <c r="AG76" s="95">
        <f>AE76*AC76*AF76*0.0036</f>
        <v>534.940416</v>
      </c>
      <c r="AH76" s="95">
        <f>AE76*AD76*AF76*0.0036</f>
        <v>181.426176</v>
      </c>
      <c r="AI76" s="69">
        <v>30</v>
      </c>
      <c r="AJ76" s="35">
        <v>12</v>
      </c>
      <c r="AK76" s="35">
        <v>0.75</v>
      </c>
      <c r="AL76" s="35">
        <v>0.59</v>
      </c>
      <c r="AM76" s="127">
        <f t="shared" si="2"/>
        <v>144433.91232</v>
      </c>
      <c r="AN76" s="128">
        <f t="shared" si="3"/>
        <v>38534.9197824</v>
      </c>
      <c r="AO76" s="82"/>
    </row>
    <row r="77" spans="1:41" ht="12.75" customHeight="1">
      <c r="A77" s="35">
        <v>47</v>
      </c>
      <c r="B77" s="35" t="s">
        <v>6</v>
      </c>
      <c r="C77" s="35" t="s">
        <v>6</v>
      </c>
      <c r="D77" s="82">
        <v>4</v>
      </c>
      <c r="E77" s="82" t="s">
        <v>766</v>
      </c>
      <c r="F77" s="69" t="s">
        <v>767</v>
      </c>
      <c r="G77" s="69" t="s">
        <v>2490</v>
      </c>
      <c r="H77" s="35" t="s">
        <v>4166</v>
      </c>
      <c r="I77" s="35" t="s">
        <v>4127</v>
      </c>
      <c r="J77" s="139">
        <v>29104391</v>
      </c>
      <c r="K77" s="35" t="s">
        <v>2438</v>
      </c>
      <c r="L77" s="35">
        <v>3447000</v>
      </c>
      <c r="M77" s="35" t="s">
        <v>3735</v>
      </c>
      <c r="N77" s="1" t="s">
        <v>4181</v>
      </c>
      <c r="O77" s="35">
        <v>3428</v>
      </c>
      <c r="P77" s="140">
        <v>43073</v>
      </c>
      <c r="Q77" s="140">
        <v>46724</v>
      </c>
      <c r="R77" s="62" t="s">
        <v>2440</v>
      </c>
      <c r="S77" s="141" t="s">
        <v>2436</v>
      </c>
      <c r="T77" s="144" t="s">
        <v>2436</v>
      </c>
      <c r="U77" s="138" t="s">
        <v>3210</v>
      </c>
      <c r="V77" s="138" t="s">
        <v>3211</v>
      </c>
      <c r="W77" s="82">
        <v>2552</v>
      </c>
      <c r="X77" s="82">
        <v>101097.464</v>
      </c>
      <c r="Y77" s="82">
        <v>90646.035</v>
      </c>
      <c r="Z77" s="69" t="s">
        <v>3741</v>
      </c>
      <c r="AA77" s="82"/>
      <c r="AB77" s="82"/>
      <c r="AC77" s="82"/>
      <c r="AD77" s="82"/>
      <c r="AE77" s="82"/>
      <c r="AF77" s="69"/>
      <c r="AG77" s="95"/>
      <c r="AH77" s="95"/>
      <c r="AI77" s="69"/>
      <c r="AJ77" s="35"/>
      <c r="AK77" s="35"/>
      <c r="AL77" s="35"/>
      <c r="AM77" s="145">
        <f t="shared" si="2"/>
        <v>0</v>
      </c>
      <c r="AN77" s="146">
        <f t="shared" si="3"/>
        <v>0</v>
      </c>
      <c r="AO77" s="82"/>
    </row>
    <row r="78" spans="1:41" ht="38.25">
      <c r="A78" s="35">
        <v>48</v>
      </c>
      <c r="B78" s="35" t="s">
        <v>6</v>
      </c>
      <c r="C78" s="35" t="s">
        <v>6</v>
      </c>
      <c r="D78" s="82">
        <v>4</v>
      </c>
      <c r="E78" s="82" t="s">
        <v>811</v>
      </c>
      <c r="F78" s="69" t="s">
        <v>2099</v>
      </c>
      <c r="G78" s="69" t="s">
        <v>2490</v>
      </c>
      <c r="H78" s="35" t="s">
        <v>4166</v>
      </c>
      <c r="I78" s="35" t="s">
        <v>4127</v>
      </c>
      <c r="J78" s="139">
        <v>29104391</v>
      </c>
      <c r="K78" s="35" t="s">
        <v>2438</v>
      </c>
      <c r="L78" s="35">
        <v>3447000</v>
      </c>
      <c r="M78" s="35" t="s">
        <v>3735</v>
      </c>
      <c r="N78" s="1" t="s">
        <v>4181</v>
      </c>
      <c r="O78" s="35">
        <v>3428</v>
      </c>
      <c r="P78" s="140">
        <v>43073</v>
      </c>
      <c r="Q78" s="140">
        <v>46724</v>
      </c>
      <c r="R78" s="62" t="s">
        <v>2440</v>
      </c>
      <c r="S78" s="141" t="s">
        <v>2441</v>
      </c>
      <c r="T78" s="142" t="s">
        <v>2443</v>
      </c>
      <c r="U78" s="69" t="s">
        <v>47</v>
      </c>
      <c r="V78" s="69" t="s">
        <v>3212</v>
      </c>
      <c r="W78" s="69">
        <v>2559</v>
      </c>
      <c r="X78" s="143">
        <v>99930.34</v>
      </c>
      <c r="Y78" s="143">
        <v>91969.47</v>
      </c>
      <c r="Z78" s="69" t="s">
        <v>3890</v>
      </c>
      <c r="AA78" s="67">
        <v>43661</v>
      </c>
      <c r="AB78" s="147">
        <v>0.5368055555555555</v>
      </c>
      <c r="AC78" s="93"/>
      <c r="AD78" s="93"/>
      <c r="AE78" s="93"/>
      <c r="AF78" s="93"/>
      <c r="AG78" s="93"/>
      <c r="AH78" s="93"/>
      <c r="AI78" s="93"/>
      <c r="AJ78" s="93"/>
      <c r="AK78" s="93"/>
      <c r="AL78" s="93"/>
      <c r="AM78" s="117">
        <f t="shared" si="2"/>
        <v>0</v>
      </c>
      <c r="AN78" s="118">
        <f t="shared" si="3"/>
        <v>0</v>
      </c>
      <c r="AO78" s="82" t="s">
        <v>2495</v>
      </c>
    </row>
    <row r="79" spans="1:41" ht="38.25">
      <c r="A79" s="35">
        <v>49</v>
      </c>
      <c r="B79" s="35" t="s">
        <v>6</v>
      </c>
      <c r="C79" s="35" t="s">
        <v>6</v>
      </c>
      <c r="D79" s="82">
        <v>4</v>
      </c>
      <c r="E79" s="82" t="s">
        <v>750</v>
      </c>
      <c r="F79" s="82" t="s">
        <v>2100</v>
      </c>
      <c r="G79" s="69" t="s">
        <v>2490</v>
      </c>
      <c r="H79" s="35" t="s">
        <v>4166</v>
      </c>
      <c r="I79" s="35" t="s">
        <v>4127</v>
      </c>
      <c r="J79" s="139">
        <v>29104391</v>
      </c>
      <c r="K79" s="35" t="s">
        <v>2438</v>
      </c>
      <c r="L79" s="35">
        <v>3447000</v>
      </c>
      <c r="M79" s="35" t="s">
        <v>3735</v>
      </c>
      <c r="N79" s="1" t="s">
        <v>4181</v>
      </c>
      <c r="O79" s="35">
        <v>3428</v>
      </c>
      <c r="P79" s="140">
        <v>43073</v>
      </c>
      <c r="Q79" s="140">
        <v>46724</v>
      </c>
      <c r="R79" s="62" t="s">
        <v>2440</v>
      </c>
      <c r="S79" s="141" t="s">
        <v>2441</v>
      </c>
      <c r="T79" s="142" t="s">
        <v>2443</v>
      </c>
      <c r="U79" s="82" t="s">
        <v>48</v>
      </c>
      <c r="V79" s="82" t="s">
        <v>3213</v>
      </c>
      <c r="W79" s="69">
        <v>2559</v>
      </c>
      <c r="X79" s="143">
        <v>99959.16</v>
      </c>
      <c r="Y79" s="143">
        <v>91998.98</v>
      </c>
      <c r="Z79" s="69" t="s">
        <v>3891</v>
      </c>
      <c r="AA79" s="67">
        <v>43537</v>
      </c>
      <c r="AB79" s="147">
        <v>0.49513888888888885</v>
      </c>
      <c r="AC79" s="93"/>
      <c r="AD79" s="93"/>
      <c r="AE79" s="93"/>
      <c r="AF79" s="93"/>
      <c r="AG79" s="93"/>
      <c r="AH79" s="93"/>
      <c r="AI79" s="93"/>
      <c r="AJ79" s="93"/>
      <c r="AK79" s="93"/>
      <c r="AL79" s="93"/>
      <c r="AM79" s="117">
        <f t="shared" si="2"/>
        <v>0</v>
      </c>
      <c r="AN79" s="118">
        <f t="shared" si="3"/>
        <v>0</v>
      </c>
      <c r="AO79" s="82" t="s">
        <v>2495</v>
      </c>
    </row>
    <row r="80" spans="1:41" ht="25.5">
      <c r="A80" s="35">
        <v>50</v>
      </c>
      <c r="B80" s="35" t="s">
        <v>6</v>
      </c>
      <c r="C80" s="35" t="s">
        <v>6</v>
      </c>
      <c r="D80" s="82">
        <v>4</v>
      </c>
      <c r="E80" s="82" t="s">
        <v>751</v>
      </c>
      <c r="F80" s="82" t="s">
        <v>759</v>
      </c>
      <c r="G80" s="69" t="s">
        <v>2490</v>
      </c>
      <c r="H80" s="35" t="s">
        <v>4166</v>
      </c>
      <c r="I80" s="35" t="s">
        <v>4127</v>
      </c>
      <c r="J80" s="139">
        <v>29104391</v>
      </c>
      <c r="K80" s="35" t="s">
        <v>2438</v>
      </c>
      <c r="L80" s="35">
        <v>3447000</v>
      </c>
      <c r="M80" s="35" t="s">
        <v>3735</v>
      </c>
      <c r="N80" s="1" t="s">
        <v>4181</v>
      </c>
      <c r="O80" s="35">
        <v>3428</v>
      </c>
      <c r="P80" s="140">
        <v>43073</v>
      </c>
      <c r="Q80" s="140">
        <v>46724</v>
      </c>
      <c r="R80" s="62" t="s">
        <v>2440</v>
      </c>
      <c r="S80" s="141" t="s">
        <v>2441</v>
      </c>
      <c r="T80" s="142" t="s">
        <v>2443</v>
      </c>
      <c r="U80" s="82" t="s">
        <v>83</v>
      </c>
      <c r="V80" s="82" t="s">
        <v>3214</v>
      </c>
      <c r="W80" s="69">
        <v>2559</v>
      </c>
      <c r="X80" s="143">
        <v>100023.75</v>
      </c>
      <c r="Y80" s="143">
        <v>91975.02</v>
      </c>
      <c r="Z80" s="69" t="s">
        <v>3753</v>
      </c>
      <c r="AA80" s="67">
        <v>43661</v>
      </c>
      <c r="AB80" s="147" t="s">
        <v>3850</v>
      </c>
      <c r="AC80" s="82">
        <v>453</v>
      </c>
      <c r="AD80" s="82">
        <v>68</v>
      </c>
      <c r="AE80" s="82">
        <f>((0.926+0.937+0.677+0.639+1.077)/5)</f>
        <v>0.8512000000000001</v>
      </c>
      <c r="AF80" s="69">
        <v>24</v>
      </c>
      <c r="AG80" s="95">
        <f>AE80*AC80*AF80*0.0036</f>
        <v>33.31528704</v>
      </c>
      <c r="AH80" s="95">
        <f>AE80*AD80*AF80*0.0036</f>
        <v>5.000970240000001</v>
      </c>
      <c r="AI80" s="69">
        <v>30</v>
      </c>
      <c r="AJ80" s="35">
        <v>12</v>
      </c>
      <c r="AK80" s="35">
        <v>0.7</v>
      </c>
      <c r="AL80" s="35">
        <v>0.53</v>
      </c>
      <c r="AM80" s="117">
        <f t="shared" si="2"/>
        <v>8395.45233408</v>
      </c>
      <c r="AN80" s="118">
        <f t="shared" si="3"/>
        <v>954.1851217920002</v>
      </c>
      <c r="AO80" s="82" t="s">
        <v>2495</v>
      </c>
    </row>
    <row r="81" spans="1:41" ht="25.5" hidden="1">
      <c r="A81" s="35">
        <v>51</v>
      </c>
      <c r="B81" s="35" t="s">
        <v>6</v>
      </c>
      <c r="C81" s="35" t="s">
        <v>6</v>
      </c>
      <c r="D81" s="82">
        <v>4</v>
      </c>
      <c r="E81" s="82" t="s">
        <v>752</v>
      </c>
      <c r="F81" s="142" t="s">
        <v>760</v>
      </c>
      <c r="G81" s="69" t="s">
        <v>2490</v>
      </c>
      <c r="H81" s="35" t="s">
        <v>4166</v>
      </c>
      <c r="I81" s="35" t="s">
        <v>4127</v>
      </c>
      <c r="J81" s="139">
        <v>29104391</v>
      </c>
      <c r="K81" s="35" t="s">
        <v>2438</v>
      </c>
      <c r="L81" s="35">
        <v>3447000</v>
      </c>
      <c r="M81" s="35" t="s">
        <v>3735</v>
      </c>
      <c r="N81" s="1" t="s">
        <v>4181</v>
      </c>
      <c r="O81" s="35">
        <v>3428</v>
      </c>
      <c r="P81" s="140">
        <v>43073</v>
      </c>
      <c r="Q81" s="140">
        <v>46724</v>
      </c>
      <c r="R81" s="62" t="s">
        <v>2440</v>
      </c>
      <c r="S81" s="141" t="s">
        <v>2441</v>
      </c>
      <c r="T81" s="142" t="s">
        <v>2444</v>
      </c>
      <c r="U81" s="142" t="s">
        <v>3215</v>
      </c>
      <c r="V81" s="142" t="s">
        <v>758</v>
      </c>
      <c r="W81" s="142">
        <v>2557</v>
      </c>
      <c r="X81" s="143">
        <v>100390.66</v>
      </c>
      <c r="Y81" s="143">
        <v>91776.14</v>
      </c>
      <c r="Z81" s="69" t="s">
        <v>3741</v>
      </c>
      <c r="AA81" s="82"/>
      <c r="AB81" s="82"/>
      <c r="AC81" s="82"/>
      <c r="AD81" s="82"/>
      <c r="AE81" s="82"/>
      <c r="AF81" s="69"/>
      <c r="AG81" s="95"/>
      <c r="AH81" s="95"/>
      <c r="AI81" s="69"/>
      <c r="AJ81" s="35"/>
      <c r="AK81" s="35"/>
      <c r="AL81" s="35"/>
      <c r="AM81" s="145">
        <f t="shared" si="2"/>
        <v>0</v>
      </c>
      <c r="AN81" s="146">
        <f t="shared" si="3"/>
        <v>0</v>
      </c>
      <c r="AO81" s="69" t="s">
        <v>2457</v>
      </c>
    </row>
    <row r="82" spans="1:41" ht="25.5">
      <c r="A82" s="35">
        <v>52</v>
      </c>
      <c r="B82" s="35" t="s">
        <v>6</v>
      </c>
      <c r="C82" s="35" t="s">
        <v>6</v>
      </c>
      <c r="D82" s="82">
        <v>4</v>
      </c>
      <c r="E82" s="82" t="s">
        <v>753</v>
      </c>
      <c r="F82" s="82" t="s">
        <v>761</v>
      </c>
      <c r="G82" s="69" t="s">
        <v>2490</v>
      </c>
      <c r="H82" s="35" t="s">
        <v>4166</v>
      </c>
      <c r="I82" s="35" t="s">
        <v>4127</v>
      </c>
      <c r="J82" s="139">
        <v>29104391</v>
      </c>
      <c r="K82" s="35" t="s">
        <v>2438</v>
      </c>
      <c r="L82" s="35">
        <v>3447000</v>
      </c>
      <c r="M82" s="35" t="s">
        <v>3735</v>
      </c>
      <c r="N82" s="1" t="s">
        <v>4181</v>
      </c>
      <c r="O82" s="35">
        <v>3428</v>
      </c>
      <c r="P82" s="140">
        <v>43073</v>
      </c>
      <c r="Q82" s="140">
        <v>46724</v>
      </c>
      <c r="R82" s="62" t="s">
        <v>2440</v>
      </c>
      <c r="S82" s="141" t="s">
        <v>2441</v>
      </c>
      <c r="T82" s="142" t="s">
        <v>2444</v>
      </c>
      <c r="U82" s="82" t="s">
        <v>23</v>
      </c>
      <c r="V82" s="82" t="s">
        <v>3216</v>
      </c>
      <c r="W82" s="82">
        <v>2556</v>
      </c>
      <c r="X82" s="143">
        <v>100768.83</v>
      </c>
      <c r="Y82" s="143">
        <v>91376.82</v>
      </c>
      <c r="Z82" s="69" t="s">
        <v>3753</v>
      </c>
      <c r="AA82" s="67">
        <v>43664</v>
      </c>
      <c r="AB82" s="147" t="s">
        <v>3892</v>
      </c>
      <c r="AC82" s="82">
        <v>579</v>
      </c>
      <c r="AD82" s="82">
        <v>348</v>
      </c>
      <c r="AE82" s="82">
        <f>((0.654+0.756+0.775+0.691+0.663)/5)</f>
        <v>0.7078</v>
      </c>
      <c r="AF82" s="82">
        <v>24</v>
      </c>
      <c r="AG82" s="95">
        <f>AE82*AC82*AF82*0.0036</f>
        <v>35.40811968</v>
      </c>
      <c r="AH82" s="95">
        <f>AE82*AD82*AF82*0.0036</f>
        <v>21.281564160000002</v>
      </c>
      <c r="AI82" s="69">
        <v>30</v>
      </c>
      <c r="AJ82" s="35">
        <v>12</v>
      </c>
      <c r="AK82" s="82">
        <v>0.61</v>
      </c>
      <c r="AL82" s="82">
        <v>0.74</v>
      </c>
      <c r="AM82" s="117">
        <f t="shared" si="2"/>
        <v>7775.623081727999</v>
      </c>
      <c r="AN82" s="118">
        <f t="shared" si="3"/>
        <v>5669.408692224</v>
      </c>
      <c r="AO82" s="82" t="s">
        <v>2457</v>
      </c>
    </row>
    <row r="83" spans="1:41" ht="25.5">
      <c r="A83" s="35">
        <v>53</v>
      </c>
      <c r="B83" s="35" t="s">
        <v>6</v>
      </c>
      <c r="C83" s="35" t="s">
        <v>6</v>
      </c>
      <c r="D83" s="82">
        <v>4</v>
      </c>
      <c r="E83" s="82" t="s">
        <v>754</v>
      </c>
      <c r="F83" s="82" t="s">
        <v>762</v>
      </c>
      <c r="G83" s="69" t="s">
        <v>2490</v>
      </c>
      <c r="H83" s="35" t="s">
        <v>4166</v>
      </c>
      <c r="I83" s="35" t="s">
        <v>4127</v>
      </c>
      <c r="J83" s="139">
        <v>29104391</v>
      </c>
      <c r="K83" s="35" t="s">
        <v>2438</v>
      </c>
      <c r="L83" s="35">
        <v>3447000</v>
      </c>
      <c r="M83" s="35" t="s">
        <v>3735</v>
      </c>
      <c r="N83" s="1" t="s">
        <v>4181</v>
      </c>
      <c r="O83" s="35">
        <v>3428</v>
      </c>
      <c r="P83" s="140">
        <v>43073</v>
      </c>
      <c r="Q83" s="140">
        <v>46724</v>
      </c>
      <c r="R83" s="62" t="s">
        <v>2440</v>
      </c>
      <c r="S83" s="141" t="s">
        <v>2441</v>
      </c>
      <c r="T83" s="142" t="s">
        <v>2444</v>
      </c>
      <c r="U83" s="82" t="s">
        <v>24</v>
      </c>
      <c r="V83" s="82" t="s">
        <v>3217</v>
      </c>
      <c r="W83" s="82">
        <v>2556</v>
      </c>
      <c r="X83" s="143">
        <v>100824.57</v>
      </c>
      <c r="Y83" s="143">
        <v>91214.63</v>
      </c>
      <c r="Z83" s="69" t="s">
        <v>3753</v>
      </c>
      <c r="AA83" s="67">
        <v>43664</v>
      </c>
      <c r="AB83" s="147">
        <v>0.38680555555555557</v>
      </c>
      <c r="AC83" s="93"/>
      <c r="AD83" s="93"/>
      <c r="AE83" s="93"/>
      <c r="AF83" s="93"/>
      <c r="AG83" s="93"/>
      <c r="AH83" s="93"/>
      <c r="AI83" s="93"/>
      <c r="AJ83" s="93"/>
      <c r="AK83" s="93"/>
      <c r="AL83" s="93"/>
      <c r="AM83" s="117">
        <f t="shared" si="2"/>
        <v>0</v>
      </c>
      <c r="AN83" s="118">
        <f t="shared" si="3"/>
        <v>0</v>
      </c>
      <c r="AO83" s="82" t="s">
        <v>2457</v>
      </c>
    </row>
    <row r="84" spans="1:41" ht="12.75" customHeight="1" hidden="1">
      <c r="A84" s="35">
        <v>54</v>
      </c>
      <c r="B84" s="35" t="s">
        <v>6</v>
      </c>
      <c r="C84" s="35" t="s">
        <v>6</v>
      </c>
      <c r="D84" s="82">
        <v>4</v>
      </c>
      <c r="E84" s="82" t="s">
        <v>755</v>
      </c>
      <c r="F84" s="142" t="s">
        <v>763</v>
      </c>
      <c r="G84" s="82" t="s">
        <v>2512</v>
      </c>
      <c r="H84" s="35" t="s">
        <v>4166</v>
      </c>
      <c r="I84" s="35" t="s">
        <v>4127</v>
      </c>
      <c r="J84" s="139">
        <v>29104391</v>
      </c>
      <c r="K84" s="35" t="s">
        <v>2438</v>
      </c>
      <c r="L84" s="35">
        <v>3447000</v>
      </c>
      <c r="M84" s="35" t="s">
        <v>3735</v>
      </c>
      <c r="N84" s="1" t="s">
        <v>4181</v>
      </c>
      <c r="O84" s="35">
        <v>3428</v>
      </c>
      <c r="P84" s="140">
        <v>43073</v>
      </c>
      <c r="Q84" s="140">
        <v>46724</v>
      </c>
      <c r="R84" s="62" t="s">
        <v>2440</v>
      </c>
      <c r="S84" s="35" t="s">
        <v>2442</v>
      </c>
      <c r="T84" s="142" t="s">
        <v>2445</v>
      </c>
      <c r="U84" s="142" t="s">
        <v>3219</v>
      </c>
      <c r="V84" s="142" t="s">
        <v>3218</v>
      </c>
      <c r="W84" s="142">
        <v>2555</v>
      </c>
      <c r="X84" s="143">
        <v>100944.42</v>
      </c>
      <c r="Y84" s="143">
        <v>91030.23</v>
      </c>
      <c r="Z84" s="69" t="s">
        <v>3741</v>
      </c>
      <c r="AA84" s="82"/>
      <c r="AB84" s="82"/>
      <c r="AC84" s="82"/>
      <c r="AD84" s="82"/>
      <c r="AE84" s="82"/>
      <c r="AF84" s="69"/>
      <c r="AG84" s="95"/>
      <c r="AH84" s="95"/>
      <c r="AI84" s="69"/>
      <c r="AJ84" s="35"/>
      <c r="AK84" s="35"/>
      <c r="AL84" s="35"/>
      <c r="AM84" s="145">
        <f t="shared" si="2"/>
        <v>0</v>
      </c>
      <c r="AN84" s="146">
        <f t="shared" si="3"/>
        <v>0</v>
      </c>
      <c r="AO84" s="69" t="s">
        <v>2457</v>
      </c>
    </row>
    <row r="85" spans="1:41" ht="51">
      <c r="A85" s="35">
        <v>55</v>
      </c>
      <c r="B85" s="35" t="s">
        <v>6</v>
      </c>
      <c r="C85" s="35" t="s">
        <v>6</v>
      </c>
      <c r="D85" s="82">
        <v>4</v>
      </c>
      <c r="E85" s="82" t="s">
        <v>756</v>
      </c>
      <c r="F85" s="82" t="s">
        <v>764</v>
      </c>
      <c r="G85" s="69" t="s">
        <v>2490</v>
      </c>
      <c r="H85" s="35" t="s">
        <v>4166</v>
      </c>
      <c r="I85" s="35" t="s">
        <v>4127</v>
      </c>
      <c r="J85" s="139">
        <v>29104391</v>
      </c>
      <c r="K85" s="35" t="s">
        <v>2438</v>
      </c>
      <c r="L85" s="35">
        <v>3447000</v>
      </c>
      <c r="M85" s="35" t="s">
        <v>3735</v>
      </c>
      <c r="N85" s="1" t="s">
        <v>4181</v>
      </c>
      <c r="O85" s="35">
        <v>3428</v>
      </c>
      <c r="P85" s="140">
        <v>43073</v>
      </c>
      <c r="Q85" s="140">
        <v>46724</v>
      </c>
      <c r="R85" s="62" t="s">
        <v>2440</v>
      </c>
      <c r="S85" s="141" t="s">
        <v>2441</v>
      </c>
      <c r="T85" s="142" t="s">
        <v>2443</v>
      </c>
      <c r="U85" s="82" t="s">
        <v>25</v>
      </c>
      <c r="V85" s="82" t="s">
        <v>3220</v>
      </c>
      <c r="W85" s="82">
        <v>2554</v>
      </c>
      <c r="X85" s="143">
        <v>101073.97</v>
      </c>
      <c r="Y85" s="143">
        <v>91012.81</v>
      </c>
      <c r="Z85" s="69" t="s">
        <v>3893</v>
      </c>
      <c r="AA85" s="67">
        <v>43664</v>
      </c>
      <c r="AB85" s="147">
        <v>0.38125000000000003</v>
      </c>
      <c r="AC85" s="69"/>
      <c r="AD85" s="82"/>
      <c r="AE85" s="82"/>
      <c r="AF85" s="69"/>
      <c r="AG85" s="95"/>
      <c r="AH85" s="95"/>
      <c r="AI85" s="69"/>
      <c r="AJ85" s="35"/>
      <c r="AK85" s="35"/>
      <c r="AL85" s="35"/>
      <c r="AM85" s="117">
        <v>52328.60446826215</v>
      </c>
      <c r="AN85" s="118">
        <v>17092.246872772586</v>
      </c>
      <c r="AO85" s="82" t="s">
        <v>2456</v>
      </c>
    </row>
    <row r="86" spans="1:41" ht="76.5">
      <c r="A86" s="35">
        <v>56</v>
      </c>
      <c r="B86" s="35" t="s">
        <v>6</v>
      </c>
      <c r="C86" s="35" t="s">
        <v>6</v>
      </c>
      <c r="D86" s="82">
        <v>4</v>
      </c>
      <c r="E86" s="82" t="s">
        <v>757</v>
      </c>
      <c r="F86" s="82" t="s">
        <v>765</v>
      </c>
      <c r="G86" s="69" t="s">
        <v>2490</v>
      </c>
      <c r="H86" s="35" t="s">
        <v>4166</v>
      </c>
      <c r="I86" s="35" t="s">
        <v>4127</v>
      </c>
      <c r="J86" s="139">
        <v>29104391</v>
      </c>
      <c r="K86" s="35" t="s">
        <v>2438</v>
      </c>
      <c r="L86" s="35">
        <v>3447000</v>
      </c>
      <c r="M86" s="35" t="s">
        <v>3735</v>
      </c>
      <c r="N86" s="1" t="s">
        <v>4181</v>
      </c>
      <c r="O86" s="35">
        <v>3428</v>
      </c>
      <c r="P86" s="140">
        <v>43073</v>
      </c>
      <c r="Q86" s="140">
        <v>46724</v>
      </c>
      <c r="R86" s="62" t="s">
        <v>2440</v>
      </c>
      <c r="S86" s="141" t="s">
        <v>2441</v>
      </c>
      <c r="T86" s="142" t="s">
        <v>2444</v>
      </c>
      <c r="U86" s="82" t="s">
        <v>26</v>
      </c>
      <c r="V86" s="82" t="s">
        <v>3221</v>
      </c>
      <c r="W86" s="82">
        <v>2557</v>
      </c>
      <c r="X86" s="143">
        <v>101029.88</v>
      </c>
      <c r="Y86" s="143">
        <v>90905.75</v>
      </c>
      <c r="Z86" s="69" t="s">
        <v>4147</v>
      </c>
      <c r="AA86" s="67">
        <v>43777</v>
      </c>
      <c r="AB86" s="147">
        <v>0.59375</v>
      </c>
      <c r="AC86" s="93"/>
      <c r="AD86" s="93"/>
      <c r="AE86" s="93"/>
      <c r="AF86" s="93"/>
      <c r="AG86" s="93"/>
      <c r="AH86" s="93"/>
      <c r="AI86" s="93"/>
      <c r="AJ86" s="93"/>
      <c r="AK86" s="93"/>
      <c r="AL86" s="93"/>
      <c r="AM86" s="117">
        <v>26816.658732011696</v>
      </c>
      <c r="AN86" s="118">
        <v>15842.947861506627</v>
      </c>
      <c r="AO86" s="82" t="s">
        <v>2456</v>
      </c>
    </row>
    <row r="87" spans="1:41" ht="12.75" customHeight="1" hidden="1">
      <c r="A87" s="35">
        <v>57</v>
      </c>
      <c r="B87" s="35" t="s">
        <v>6</v>
      </c>
      <c r="C87" s="35" t="s">
        <v>6</v>
      </c>
      <c r="D87" s="82">
        <v>4</v>
      </c>
      <c r="E87" s="82" t="s">
        <v>2131</v>
      </c>
      <c r="F87" s="82" t="s">
        <v>2132</v>
      </c>
      <c r="G87" s="82" t="s">
        <v>2512</v>
      </c>
      <c r="H87" s="35" t="s">
        <v>4166</v>
      </c>
      <c r="I87" s="35" t="s">
        <v>4127</v>
      </c>
      <c r="J87" s="139">
        <v>29104391</v>
      </c>
      <c r="K87" s="35" t="s">
        <v>2438</v>
      </c>
      <c r="L87" s="35">
        <v>3447000</v>
      </c>
      <c r="M87" s="35" t="s">
        <v>3735</v>
      </c>
      <c r="N87" s="1" t="s">
        <v>4181</v>
      </c>
      <c r="O87" s="35">
        <v>3428</v>
      </c>
      <c r="P87" s="140">
        <v>43073</v>
      </c>
      <c r="Q87" s="140">
        <v>46724</v>
      </c>
      <c r="R87" s="62" t="s">
        <v>2440</v>
      </c>
      <c r="S87" s="35" t="s">
        <v>2442</v>
      </c>
      <c r="T87" s="142" t="s">
        <v>2443</v>
      </c>
      <c r="U87" s="82" t="s">
        <v>3223</v>
      </c>
      <c r="V87" s="82" t="s">
        <v>3222</v>
      </c>
      <c r="W87" s="82">
        <v>2551</v>
      </c>
      <c r="X87" s="143">
        <v>101076.56</v>
      </c>
      <c r="Y87" s="143">
        <v>90655.28</v>
      </c>
      <c r="Z87" s="69" t="s">
        <v>3741</v>
      </c>
      <c r="AA87" s="82"/>
      <c r="AB87" s="82"/>
      <c r="AC87" s="82"/>
      <c r="AD87" s="82"/>
      <c r="AE87" s="82"/>
      <c r="AF87" s="69"/>
      <c r="AG87" s="95"/>
      <c r="AH87" s="95"/>
      <c r="AI87" s="69"/>
      <c r="AJ87" s="35"/>
      <c r="AK87" s="35"/>
      <c r="AL87" s="35"/>
      <c r="AM87" s="145">
        <f>AG87*AI87*AJ87*AK87</f>
        <v>0</v>
      </c>
      <c r="AN87" s="146">
        <f>AH87*AI87*AJ87*AL87</f>
        <v>0</v>
      </c>
      <c r="AO87" s="82" t="s">
        <v>2457</v>
      </c>
    </row>
    <row r="88" spans="1:41" ht="38.25">
      <c r="A88" s="35">
        <v>58</v>
      </c>
      <c r="B88" s="35" t="s">
        <v>6</v>
      </c>
      <c r="C88" s="35" t="s">
        <v>6</v>
      </c>
      <c r="D88" s="82">
        <v>4</v>
      </c>
      <c r="E88" s="69" t="s">
        <v>768</v>
      </c>
      <c r="F88" s="142" t="s">
        <v>2234</v>
      </c>
      <c r="G88" s="82" t="s">
        <v>2512</v>
      </c>
      <c r="H88" s="35" t="s">
        <v>4166</v>
      </c>
      <c r="I88" s="35" t="s">
        <v>4127</v>
      </c>
      <c r="J88" s="139">
        <v>29104391</v>
      </c>
      <c r="K88" s="35" t="s">
        <v>2438</v>
      </c>
      <c r="L88" s="35">
        <v>3447000</v>
      </c>
      <c r="M88" s="35" t="s">
        <v>3735</v>
      </c>
      <c r="N88" s="1" t="s">
        <v>4181</v>
      </c>
      <c r="O88" s="35">
        <v>3428</v>
      </c>
      <c r="P88" s="140">
        <v>43073</v>
      </c>
      <c r="Q88" s="140">
        <v>46724</v>
      </c>
      <c r="R88" s="62" t="s">
        <v>2440</v>
      </c>
      <c r="S88" s="35" t="s">
        <v>2442</v>
      </c>
      <c r="T88" s="142" t="s">
        <v>2444</v>
      </c>
      <c r="U88" s="142" t="s">
        <v>3224</v>
      </c>
      <c r="V88" s="142" t="s">
        <v>785</v>
      </c>
      <c r="W88" s="142">
        <v>2552</v>
      </c>
      <c r="X88" s="143">
        <v>101097.46</v>
      </c>
      <c r="Y88" s="143">
        <v>90571.72</v>
      </c>
      <c r="Z88" s="69" t="s">
        <v>4148</v>
      </c>
      <c r="AA88" s="67">
        <v>43777</v>
      </c>
      <c r="AB88" s="147">
        <v>0.6458333333333334</v>
      </c>
      <c r="AC88" s="69"/>
      <c r="AD88" s="93"/>
      <c r="AE88" s="93"/>
      <c r="AF88" s="93"/>
      <c r="AG88" s="93"/>
      <c r="AH88" s="93"/>
      <c r="AI88" s="93"/>
      <c r="AJ88" s="93"/>
      <c r="AK88" s="93"/>
      <c r="AL88" s="93"/>
      <c r="AM88" s="117">
        <f>AG88*AI88*AJ88*AK88</f>
        <v>0</v>
      </c>
      <c r="AN88" s="118">
        <f>AH88*AI88*AJ88*AL88</f>
        <v>0</v>
      </c>
      <c r="AO88" s="82" t="s">
        <v>2495</v>
      </c>
    </row>
    <row r="89" spans="1:41" ht="25.5">
      <c r="A89" s="35">
        <v>59</v>
      </c>
      <c r="B89" s="35" t="s">
        <v>6</v>
      </c>
      <c r="C89" s="35" t="s">
        <v>6</v>
      </c>
      <c r="D89" s="82">
        <v>4</v>
      </c>
      <c r="E89" s="69" t="s">
        <v>769</v>
      </c>
      <c r="F89" s="142" t="s">
        <v>780</v>
      </c>
      <c r="G89" s="142" t="s">
        <v>2490</v>
      </c>
      <c r="H89" s="35" t="s">
        <v>4166</v>
      </c>
      <c r="I89" s="35" t="s">
        <v>4127</v>
      </c>
      <c r="J89" s="139">
        <v>29104391</v>
      </c>
      <c r="K89" s="35" t="s">
        <v>2438</v>
      </c>
      <c r="L89" s="35">
        <v>3447000</v>
      </c>
      <c r="M89" s="35" t="s">
        <v>3735</v>
      </c>
      <c r="N89" s="1" t="s">
        <v>4181</v>
      </c>
      <c r="O89" s="35">
        <v>3428</v>
      </c>
      <c r="P89" s="140">
        <v>43073</v>
      </c>
      <c r="Q89" s="140">
        <v>46724</v>
      </c>
      <c r="R89" s="62" t="s">
        <v>2440</v>
      </c>
      <c r="S89" s="141" t="s">
        <v>2441</v>
      </c>
      <c r="T89" s="142" t="s">
        <v>2443</v>
      </c>
      <c r="U89" s="142" t="s">
        <v>3225</v>
      </c>
      <c r="V89" s="142" t="s">
        <v>786</v>
      </c>
      <c r="W89" s="142">
        <v>2554</v>
      </c>
      <c r="X89" s="143">
        <v>100999.14</v>
      </c>
      <c r="Y89" s="143">
        <v>90177.33</v>
      </c>
      <c r="Z89" s="69" t="s">
        <v>3753</v>
      </c>
      <c r="AA89" s="67">
        <v>43776</v>
      </c>
      <c r="AB89" s="69" t="s">
        <v>2531</v>
      </c>
      <c r="AC89" s="82">
        <v>42</v>
      </c>
      <c r="AD89" s="82">
        <v>75</v>
      </c>
      <c r="AE89" s="82">
        <v>5.735</v>
      </c>
      <c r="AF89" s="69">
        <v>24</v>
      </c>
      <c r="AG89" s="95">
        <f>AE89*AC89*AF89*0.0036</f>
        <v>20.811168</v>
      </c>
      <c r="AH89" s="95">
        <f>AE89*AD89*AF89*0.0036</f>
        <v>37.1628</v>
      </c>
      <c r="AI89" s="69">
        <v>30</v>
      </c>
      <c r="AJ89" s="35">
        <v>12</v>
      </c>
      <c r="AK89" s="35">
        <v>0.51</v>
      </c>
      <c r="AL89" s="35">
        <v>0.48</v>
      </c>
      <c r="AM89" s="117">
        <f>AG89*AI89*AJ89*AK89</f>
        <v>3820.9304448</v>
      </c>
      <c r="AN89" s="118">
        <f>AH89*AI89*AJ89*AL89</f>
        <v>6421.7318399999995</v>
      </c>
      <c r="AO89" s="82" t="s">
        <v>2456</v>
      </c>
    </row>
    <row r="90" spans="1:41" ht="12.75" customHeight="1">
      <c r="A90" s="35">
        <v>60</v>
      </c>
      <c r="B90" s="35" t="s">
        <v>6</v>
      </c>
      <c r="C90" s="35" t="s">
        <v>6</v>
      </c>
      <c r="D90" s="82">
        <v>4</v>
      </c>
      <c r="E90" s="69" t="s">
        <v>2133</v>
      </c>
      <c r="F90" s="142" t="s">
        <v>2134</v>
      </c>
      <c r="G90" s="142" t="s">
        <v>2490</v>
      </c>
      <c r="H90" s="35" t="s">
        <v>4166</v>
      </c>
      <c r="I90" s="35" t="s">
        <v>4127</v>
      </c>
      <c r="J90" s="139">
        <v>29104391</v>
      </c>
      <c r="K90" s="35" t="s">
        <v>2438</v>
      </c>
      <c r="L90" s="35">
        <v>3447000</v>
      </c>
      <c r="M90" s="35" t="s">
        <v>3735</v>
      </c>
      <c r="N90" s="1" t="s">
        <v>4181</v>
      </c>
      <c r="O90" s="35">
        <v>3428</v>
      </c>
      <c r="P90" s="140">
        <v>43073</v>
      </c>
      <c r="Q90" s="140">
        <v>46724</v>
      </c>
      <c r="R90" s="62" t="s">
        <v>2440</v>
      </c>
      <c r="S90" s="141" t="s">
        <v>2441</v>
      </c>
      <c r="T90" s="142" t="s">
        <v>2444</v>
      </c>
      <c r="U90" s="142" t="s">
        <v>3227</v>
      </c>
      <c r="V90" s="142" t="s">
        <v>3226</v>
      </c>
      <c r="W90" s="142">
        <v>2554</v>
      </c>
      <c r="X90" s="143">
        <v>100987.46</v>
      </c>
      <c r="Y90" s="143">
        <v>90147.11</v>
      </c>
      <c r="Z90" s="69" t="s">
        <v>3741</v>
      </c>
      <c r="AA90" s="82"/>
      <c r="AB90" s="82"/>
      <c r="AC90" s="82"/>
      <c r="AD90" s="82"/>
      <c r="AE90" s="82"/>
      <c r="AF90" s="69"/>
      <c r="AG90" s="95"/>
      <c r="AH90" s="95"/>
      <c r="AI90" s="69"/>
      <c r="AJ90" s="35"/>
      <c r="AK90" s="35"/>
      <c r="AL90" s="35"/>
      <c r="AM90" s="145">
        <f>AG90*AI90*AJ90*AK90</f>
        <v>0</v>
      </c>
      <c r="AN90" s="146">
        <f>AH90*AI90*AJ90*AL90</f>
        <v>0</v>
      </c>
      <c r="AO90" s="82" t="s">
        <v>2457</v>
      </c>
    </row>
    <row r="91" spans="1:44" ht="27" customHeight="1">
      <c r="A91" s="148">
        <v>61</v>
      </c>
      <c r="B91" s="148" t="s">
        <v>6</v>
      </c>
      <c r="C91" s="148" t="s">
        <v>6</v>
      </c>
      <c r="D91" s="159">
        <v>4</v>
      </c>
      <c r="E91" s="149" t="s">
        <v>770</v>
      </c>
      <c r="F91" s="151" t="s">
        <v>812</v>
      </c>
      <c r="G91" s="151" t="s">
        <v>2512</v>
      </c>
      <c r="H91" s="148" t="s">
        <v>4166</v>
      </c>
      <c r="I91" s="148" t="s">
        <v>4127</v>
      </c>
      <c r="J91" s="152">
        <v>29104391</v>
      </c>
      <c r="K91" s="148" t="s">
        <v>2438</v>
      </c>
      <c r="L91" s="148">
        <v>3447000</v>
      </c>
      <c r="M91" s="148" t="s">
        <v>3735</v>
      </c>
      <c r="N91" s="1" t="s">
        <v>4181</v>
      </c>
      <c r="O91" s="148">
        <v>3428</v>
      </c>
      <c r="P91" s="153">
        <v>43073</v>
      </c>
      <c r="Q91" s="153">
        <v>46724</v>
      </c>
      <c r="R91" s="150" t="s">
        <v>2440</v>
      </c>
      <c r="S91" s="148" t="s">
        <v>2442</v>
      </c>
      <c r="T91" s="151" t="s">
        <v>2444</v>
      </c>
      <c r="U91" s="151" t="s">
        <v>3228</v>
      </c>
      <c r="V91" s="151" t="s">
        <v>787</v>
      </c>
      <c r="W91" s="151">
        <v>2555</v>
      </c>
      <c r="X91" s="154">
        <v>100966.53</v>
      </c>
      <c r="Y91" s="154">
        <v>90149.89</v>
      </c>
      <c r="Z91" s="2" t="s">
        <v>4149</v>
      </c>
      <c r="AA91" s="82"/>
      <c r="AB91" s="82"/>
      <c r="AC91" s="82"/>
      <c r="AD91" s="82"/>
      <c r="AE91" s="82"/>
      <c r="AF91" s="69"/>
      <c r="AG91" s="95"/>
      <c r="AH91" s="95"/>
      <c r="AI91" s="69"/>
      <c r="AJ91" s="35"/>
      <c r="AK91" s="35"/>
      <c r="AL91" s="35"/>
      <c r="AM91" s="117">
        <f>AM92</f>
        <v>18023485.9968</v>
      </c>
      <c r="AN91" s="117">
        <f>AN92</f>
        <v>16960680.979199994</v>
      </c>
      <c r="AO91" s="82" t="s">
        <v>2495</v>
      </c>
      <c r="AQ91"/>
      <c r="AR91" s="107"/>
    </row>
    <row r="92" spans="1:41" ht="38.25" customHeight="1">
      <c r="A92" s="35"/>
      <c r="B92" s="35"/>
      <c r="C92" s="35"/>
      <c r="D92" s="82"/>
      <c r="E92" s="69"/>
      <c r="F92" s="142"/>
      <c r="G92" s="142"/>
      <c r="H92" s="35"/>
      <c r="I92" s="35"/>
      <c r="J92" s="139"/>
      <c r="K92" s="35"/>
      <c r="L92" s="35"/>
      <c r="M92" s="35"/>
      <c r="N92" s="35"/>
      <c r="O92" s="35"/>
      <c r="P92" s="140"/>
      <c r="Q92" s="140"/>
      <c r="R92" s="62"/>
      <c r="S92" s="35"/>
      <c r="T92" s="142"/>
      <c r="U92" s="142"/>
      <c r="V92" s="142"/>
      <c r="W92" s="142"/>
      <c r="X92" s="143"/>
      <c r="Y92" s="143"/>
      <c r="Z92" s="148" t="s">
        <v>4013</v>
      </c>
      <c r="AA92" s="104" t="s">
        <v>3894</v>
      </c>
      <c r="AB92" s="69" t="s">
        <v>3895</v>
      </c>
      <c r="AC92" s="82"/>
      <c r="AD92" s="198"/>
      <c r="AE92" s="82"/>
      <c r="AF92" s="82"/>
      <c r="AG92" s="82"/>
      <c r="AH92" s="82"/>
      <c r="AI92" s="82"/>
      <c r="AJ92" s="82"/>
      <c r="AK92" s="35"/>
      <c r="AL92" s="35"/>
      <c r="AM92" s="127">
        <f>AVERAGE(AM93:AM104)</f>
        <v>18023485.9968</v>
      </c>
      <c r="AN92" s="127">
        <f>AVERAGE(AN93:AN104)</f>
        <v>16960680.979199994</v>
      </c>
      <c r="AO92" s="82"/>
    </row>
    <row r="93" spans="1:41" ht="12.75">
      <c r="A93" s="35"/>
      <c r="B93" s="35"/>
      <c r="C93" s="35"/>
      <c r="D93" s="82"/>
      <c r="E93" s="69"/>
      <c r="F93" s="142"/>
      <c r="G93" s="142"/>
      <c r="H93" s="35"/>
      <c r="I93" s="35"/>
      <c r="J93" s="139"/>
      <c r="K93" s="35"/>
      <c r="L93" s="35"/>
      <c r="M93" s="35"/>
      <c r="N93" s="35"/>
      <c r="O93" s="35"/>
      <c r="P93" s="140"/>
      <c r="Q93" s="140"/>
      <c r="R93" s="62"/>
      <c r="S93" s="35"/>
      <c r="T93" s="142"/>
      <c r="U93" s="142"/>
      <c r="V93" s="142"/>
      <c r="W93" s="142"/>
      <c r="X93" s="143"/>
      <c r="Y93" s="143"/>
      <c r="Z93" s="82" t="s">
        <v>3951</v>
      </c>
      <c r="AA93" s="104"/>
      <c r="AB93" s="69"/>
      <c r="AC93" s="82">
        <v>528</v>
      </c>
      <c r="AD93" s="82">
        <v>733</v>
      </c>
      <c r="AE93" s="82">
        <v>1410.6</v>
      </c>
      <c r="AF93" s="82">
        <v>24</v>
      </c>
      <c r="AG93" s="82">
        <f aca="true" t="shared" si="4" ref="AG93:AG104">AE93*AC93*AF93*0.0036</f>
        <v>64350.44351999999</v>
      </c>
      <c r="AH93" s="82">
        <f aca="true" t="shared" si="5" ref="AH93:AH104">AE93*AD93*AF93*0.0036</f>
        <v>89334.99072</v>
      </c>
      <c r="AI93" s="82">
        <v>30</v>
      </c>
      <c r="AJ93" s="82">
        <v>12</v>
      </c>
      <c r="AK93" s="35"/>
      <c r="AL93" s="35"/>
      <c r="AM93" s="127">
        <f>AG93*AI93*AJ93</f>
        <v>23166159.6672</v>
      </c>
      <c r="AN93" s="128">
        <f>AH93*AI93*AJ93</f>
        <v>32160596.659199998</v>
      </c>
      <c r="AO93" s="82"/>
    </row>
    <row r="94" spans="1:41" ht="12.75">
      <c r="A94" s="35"/>
      <c r="B94" s="35"/>
      <c r="C94" s="35"/>
      <c r="D94" s="82"/>
      <c r="E94" s="69"/>
      <c r="F94" s="142"/>
      <c r="G94" s="142"/>
      <c r="H94" s="35"/>
      <c r="I94" s="35"/>
      <c r="J94" s="139"/>
      <c r="K94" s="35"/>
      <c r="L94" s="35"/>
      <c r="M94" s="35"/>
      <c r="N94" s="35"/>
      <c r="O94" s="35"/>
      <c r="P94" s="140"/>
      <c r="Q94" s="140"/>
      <c r="R94" s="62"/>
      <c r="S94" s="35"/>
      <c r="T94" s="142"/>
      <c r="U94" s="142"/>
      <c r="V94" s="142"/>
      <c r="W94" s="142"/>
      <c r="X94" s="143"/>
      <c r="Y94" s="143"/>
      <c r="Z94" s="82" t="s">
        <v>3952</v>
      </c>
      <c r="AA94" s="104"/>
      <c r="AB94" s="69"/>
      <c r="AC94" s="82">
        <v>678</v>
      </c>
      <c r="AD94" s="82">
        <v>520</v>
      </c>
      <c r="AE94" s="82">
        <v>1734.8</v>
      </c>
      <c r="AF94" s="82">
        <v>24</v>
      </c>
      <c r="AG94" s="82">
        <f t="shared" si="4"/>
        <v>101623.19615999999</v>
      </c>
      <c r="AH94" s="82">
        <f t="shared" si="5"/>
        <v>77941.0944</v>
      </c>
      <c r="AI94" s="82">
        <v>30</v>
      </c>
      <c r="AJ94" s="82">
        <v>12</v>
      </c>
      <c r="AK94" s="35"/>
      <c r="AL94" s="35"/>
      <c r="AM94" s="127">
        <f aca="true" t="shared" si="6" ref="AM94:AM104">AG94*AI94*AJ94</f>
        <v>36584350.617599994</v>
      </c>
      <c r="AN94" s="128">
        <f aca="true" t="shared" si="7" ref="AN94:AN104">AH94*AI94*AJ94</f>
        <v>28058793.983999997</v>
      </c>
      <c r="AO94" s="82"/>
    </row>
    <row r="95" spans="1:41" ht="12.75">
      <c r="A95" s="35"/>
      <c r="B95" s="35"/>
      <c r="C95" s="35"/>
      <c r="D95" s="82"/>
      <c r="E95" s="69"/>
      <c r="F95" s="142"/>
      <c r="G95" s="142"/>
      <c r="H95" s="35"/>
      <c r="I95" s="35"/>
      <c r="J95" s="139"/>
      <c r="K95" s="35"/>
      <c r="L95" s="35"/>
      <c r="M95" s="35"/>
      <c r="N95" s="35"/>
      <c r="O95" s="35"/>
      <c r="P95" s="140"/>
      <c r="Q95" s="140"/>
      <c r="R95" s="62"/>
      <c r="S95" s="35"/>
      <c r="T95" s="142"/>
      <c r="U95" s="142"/>
      <c r="V95" s="142"/>
      <c r="W95" s="142"/>
      <c r="X95" s="143"/>
      <c r="Y95" s="143"/>
      <c r="Z95" s="82" t="s">
        <v>3953</v>
      </c>
      <c r="AA95" s="104"/>
      <c r="AB95" s="69"/>
      <c r="AC95" s="82">
        <v>333</v>
      </c>
      <c r="AD95" s="82">
        <v>500</v>
      </c>
      <c r="AE95" s="82">
        <v>1748</v>
      </c>
      <c r="AF95" s="82">
        <v>24</v>
      </c>
      <c r="AG95" s="82">
        <f t="shared" si="4"/>
        <v>50292.0576</v>
      </c>
      <c r="AH95" s="82">
        <f t="shared" si="5"/>
        <v>75513.59999999999</v>
      </c>
      <c r="AI95" s="82">
        <v>30</v>
      </c>
      <c r="AJ95" s="82">
        <v>12</v>
      </c>
      <c r="AK95" s="35"/>
      <c r="AL95" s="35"/>
      <c r="AM95" s="127">
        <f t="shared" si="6"/>
        <v>18105140.736</v>
      </c>
      <c r="AN95" s="128">
        <f t="shared" si="7"/>
        <v>27184895.999999993</v>
      </c>
      <c r="AO95" s="82"/>
    </row>
    <row r="96" spans="1:41" ht="12.75">
      <c r="A96" s="35"/>
      <c r="B96" s="35"/>
      <c r="C96" s="35"/>
      <c r="D96" s="82"/>
      <c r="E96" s="69"/>
      <c r="F96" s="142"/>
      <c r="G96" s="142"/>
      <c r="H96" s="35"/>
      <c r="I96" s="35"/>
      <c r="J96" s="139"/>
      <c r="K96" s="35"/>
      <c r="L96" s="35"/>
      <c r="M96" s="35"/>
      <c r="N96" s="35"/>
      <c r="O96" s="35"/>
      <c r="P96" s="140"/>
      <c r="Q96" s="140"/>
      <c r="R96" s="62"/>
      <c r="S96" s="35"/>
      <c r="T96" s="142"/>
      <c r="U96" s="142"/>
      <c r="V96" s="142"/>
      <c r="W96" s="142"/>
      <c r="X96" s="143"/>
      <c r="Y96" s="143"/>
      <c r="Z96" s="82" t="s">
        <v>3954</v>
      </c>
      <c r="AA96" s="104"/>
      <c r="AB96" s="69"/>
      <c r="AC96" s="82">
        <v>437</v>
      </c>
      <c r="AD96" s="82">
        <v>730</v>
      </c>
      <c r="AE96" s="82">
        <v>1653</v>
      </c>
      <c r="AF96" s="82">
        <v>24</v>
      </c>
      <c r="AG96" s="82">
        <f t="shared" si="4"/>
        <v>62411.990399999995</v>
      </c>
      <c r="AH96" s="82">
        <f t="shared" si="5"/>
        <v>104258.016</v>
      </c>
      <c r="AI96" s="82">
        <v>30</v>
      </c>
      <c r="AJ96" s="82">
        <v>12</v>
      </c>
      <c r="AK96" s="35"/>
      <c r="AL96" s="35"/>
      <c r="AM96" s="127">
        <f t="shared" si="6"/>
        <v>22468316.544</v>
      </c>
      <c r="AN96" s="128">
        <f t="shared" si="7"/>
        <v>37532885.76</v>
      </c>
      <c r="AO96" s="82"/>
    </row>
    <row r="97" spans="1:41" ht="12.75">
      <c r="A97" s="35"/>
      <c r="B97" s="35"/>
      <c r="C97" s="35"/>
      <c r="D97" s="82"/>
      <c r="E97" s="69"/>
      <c r="F97" s="142"/>
      <c r="G97" s="142"/>
      <c r="H97" s="35"/>
      <c r="I97" s="35"/>
      <c r="J97" s="139"/>
      <c r="K97" s="35"/>
      <c r="L97" s="35"/>
      <c r="M97" s="35"/>
      <c r="N97" s="35"/>
      <c r="O97" s="35"/>
      <c r="P97" s="140"/>
      <c r="Q97" s="140"/>
      <c r="R97" s="62"/>
      <c r="S97" s="35"/>
      <c r="T97" s="142"/>
      <c r="U97" s="142"/>
      <c r="V97" s="142"/>
      <c r="W97" s="142"/>
      <c r="X97" s="143"/>
      <c r="Y97" s="143"/>
      <c r="Z97" s="82" t="s">
        <v>3955</v>
      </c>
      <c r="AA97" s="104"/>
      <c r="AB97" s="69"/>
      <c r="AC97" s="82">
        <v>587</v>
      </c>
      <c r="AD97" s="82">
        <v>440</v>
      </c>
      <c r="AE97" s="82">
        <v>1596.4</v>
      </c>
      <c r="AF97" s="82">
        <v>24</v>
      </c>
      <c r="AG97" s="82">
        <f t="shared" si="4"/>
        <v>80964.29952000002</v>
      </c>
      <c r="AH97" s="82">
        <f t="shared" si="5"/>
        <v>60688.742399999996</v>
      </c>
      <c r="AI97" s="82">
        <v>30</v>
      </c>
      <c r="AJ97" s="82">
        <v>12</v>
      </c>
      <c r="AK97" s="35"/>
      <c r="AL97" s="35"/>
      <c r="AM97" s="127">
        <f t="shared" si="6"/>
        <v>29147147.827200003</v>
      </c>
      <c r="AN97" s="128">
        <f t="shared" si="7"/>
        <v>21847947.264</v>
      </c>
      <c r="AO97" s="82"/>
    </row>
    <row r="98" spans="1:41" ht="12.75">
      <c r="A98" s="35"/>
      <c r="B98" s="35"/>
      <c r="C98" s="35"/>
      <c r="D98" s="82"/>
      <c r="E98" s="69"/>
      <c r="F98" s="142"/>
      <c r="G98" s="142"/>
      <c r="H98" s="35"/>
      <c r="I98" s="35"/>
      <c r="J98" s="139"/>
      <c r="K98" s="35"/>
      <c r="L98" s="35"/>
      <c r="M98" s="35"/>
      <c r="N98" s="35"/>
      <c r="O98" s="35"/>
      <c r="P98" s="140"/>
      <c r="Q98" s="140"/>
      <c r="R98" s="62"/>
      <c r="S98" s="35"/>
      <c r="T98" s="142"/>
      <c r="U98" s="142"/>
      <c r="V98" s="142"/>
      <c r="W98" s="142"/>
      <c r="X98" s="143"/>
      <c r="Y98" s="143"/>
      <c r="Z98" s="82" t="s">
        <v>3956</v>
      </c>
      <c r="AA98" s="104"/>
      <c r="AB98" s="69"/>
      <c r="AC98" s="82">
        <v>670</v>
      </c>
      <c r="AD98" s="82">
        <v>370</v>
      </c>
      <c r="AE98" s="82">
        <v>1456</v>
      </c>
      <c r="AF98" s="82">
        <v>24</v>
      </c>
      <c r="AG98" s="82">
        <f t="shared" si="4"/>
        <v>84284.928</v>
      </c>
      <c r="AH98" s="82">
        <f t="shared" si="5"/>
        <v>46545.407999999996</v>
      </c>
      <c r="AI98" s="82">
        <v>30</v>
      </c>
      <c r="AJ98" s="82">
        <v>12</v>
      </c>
      <c r="AK98" s="35"/>
      <c r="AL98" s="35"/>
      <c r="AM98" s="127">
        <f t="shared" si="6"/>
        <v>30342574.08</v>
      </c>
      <c r="AN98" s="128">
        <f t="shared" si="7"/>
        <v>16756346.879999997</v>
      </c>
      <c r="AO98" s="82"/>
    </row>
    <row r="99" spans="1:41" ht="12.75">
      <c r="A99" s="35"/>
      <c r="B99" s="35"/>
      <c r="C99" s="35"/>
      <c r="D99" s="82"/>
      <c r="E99" s="69"/>
      <c r="F99" s="142"/>
      <c r="G99" s="142"/>
      <c r="H99" s="35"/>
      <c r="I99" s="35"/>
      <c r="J99" s="139"/>
      <c r="K99" s="35"/>
      <c r="L99" s="35"/>
      <c r="M99" s="35"/>
      <c r="N99" s="35"/>
      <c r="O99" s="35"/>
      <c r="P99" s="140"/>
      <c r="Q99" s="140"/>
      <c r="R99" s="62"/>
      <c r="S99" s="35"/>
      <c r="T99" s="142"/>
      <c r="U99" s="142"/>
      <c r="V99" s="142"/>
      <c r="W99" s="142"/>
      <c r="X99" s="143"/>
      <c r="Y99" s="143"/>
      <c r="Z99" s="82" t="s">
        <v>3957</v>
      </c>
      <c r="AA99" s="104"/>
      <c r="AB99" s="69"/>
      <c r="AC99" s="82">
        <v>429</v>
      </c>
      <c r="AD99" s="82">
        <v>345</v>
      </c>
      <c r="AE99" s="82">
        <v>952.8</v>
      </c>
      <c r="AF99" s="82">
        <v>24</v>
      </c>
      <c r="AG99" s="82">
        <f t="shared" si="4"/>
        <v>35316.10367999999</v>
      </c>
      <c r="AH99" s="82">
        <f t="shared" si="5"/>
        <v>28401.0624</v>
      </c>
      <c r="AI99" s="82">
        <v>30</v>
      </c>
      <c r="AJ99" s="82">
        <v>12</v>
      </c>
      <c r="AK99" s="35"/>
      <c r="AL99" s="35"/>
      <c r="AM99" s="127">
        <f t="shared" si="6"/>
        <v>12713797.3248</v>
      </c>
      <c r="AN99" s="128">
        <f t="shared" si="7"/>
        <v>10224382.464</v>
      </c>
      <c r="AO99" s="82"/>
    </row>
    <row r="100" spans="1:41" ht="12.75">
      <c r="A100" s="35"/>
      <c r="B100" s="35"/>
      <c r="C100" s="35"/>
      <c r="D100" s="82"/>
      <c r="E100" s="69"/>
      <c r="F100" s="142"/>
      <c r="G100" s="142"/>
      <c r="H100" s="35"/>
      <c r="I100" s="35"/>
      <c r="J100" s="139"/>
      <c r="K100" s="35"/>
      <c r="L100" s="35"/>
      <c r="M100" s="35"/>
      <c r="N100" s="35"/>
      <c r="O100" s="35"/>
      <c r="P100" s="140"/>
      <c r="Q100" s="140"/>
      <c r="R100" s="62"/>
      <c r="S100" s="35"/>
      <c r="T100" s="142"/>
      <c r="U100" s="142"/>
      <c r="V100" s="142"/>
      <c r="W100" s="142"/>
      <c r="X100" s="143"/>
      <c r="Y100" s="143"/>
      <c r="Z100" s="82" t="s">
        <v>3958</v>
      </c>
      <c r="AA100" s="104"/>
      <c r="AB100" s="69"/>
      <c r="AC100" s="82">
        <v>402</v>
      </c>
      <c r="AD100" s="82">
        <v>380</v>
      </c>
      <c r="AE100" s="82">
        <v>813.8</v>
      </c>
      <c r="AF100" s="82">
        <v>24</v>
      </c>
      <c r="AG100" s="82">
        <f t="shared" si="4"/>
        <v>28265.552639999998</v>
      </c>
      <c r="AH100" s="82">
        <f t="shared" si="5"/>
        <v>26718.6816</v>
      </c>
      <c r="AI100" s="82">
        <v>30</v>
      </c>
      <c r="AJ100" s="82">
        <v>12</v>
      </c>
      <c r="AK100" s="35"/>
      <c r="AL100" s="35"/>
      <c r="AM100" s="127">
        <f t="shared" si="6"/>
        <v>10175598.950399999</v>
      </c>
      <c r="AN100" s="128">
        <f t="shared" si="7"/>
        <v>9618725.376</v>
      </c>
      <c r="AO100" s="82"/>
    </row>
    <row r="101" spans="1:41" ht="12.75">
      <c r="A101" s="35"/>
      <c r="B101" s="35"/>
      <c r="C101" s="35"/>
      <c r="D101" s="82"/>
      <c r="E101" s="69"/>
      <c r="F101" s="142"/>
      <c r="G101" s="142"/>
      <c r="H101" s="35"/>
      <c r="I101" s="35"/>
      <c r="J101" s="139"/>
      <c r="K101" s="35"/>
      <c r="L101" s="35"/>
      <c r="M101" s="35"/>
      <c r="N101" s="35"/>
      <c r="O101" s="35"/>
      <c r="P101" s="140"/>
      <c r="Q101" s="140"/>
      <c r="R101" s="62"/>
      <c r="S101" s="35"/>
      <c r="T101" s="142"/>
      <c r="U101" s="142"/>
      <c r="V101" s="142"/>
      <c r="W101" s="142"/>
      <c r="X101" s="143"/>
      <c r="Y101" s="143"/>
      <c r="Z101" s="82" t="s">
        <v>3959</v>
      </c>
      <c r="AA101" s="104"/>
      <c r="AB101" s="69"/>
      <c r="AC101" s="82">
        <v>376</v>
      </c>
      <c r="AD101" s="82">
        <v>248</v>
      </c>
      <c r="AE101" s="82">
        <v>608.6</v>
      </c>
      <c r="AF101" s="82">
        <v>24</v>
      </c>
      <c r="AG101" s="82">
        <f t="shared" si="4"/>
        <v>19771.22304</v>
      </c>
      <c r="AH101" s="82">
        <f t="shared" si="5"/>
        <v>13040.593920000001</v>
      </c>
      <c r="AI101" s="82">
        <v>30</v>
      </c>
      <c r="AJ101" s="82">
        <v>12</v>
      </c>
      <c r="AK101" s="35"/>
      <c r="AL101" s="35"/>
      <c r="AM101" s="127">
        <f t="shared" si="6"/>
        <v>7117640.2944</v>
      </c>
      <c r="AN101" s="128">
        <f t="shared" si="7"/>
        <v>4694613.8112</v>
      </c>
      <c r="AO101" s="82"/>
    </row>
    <row r="102" spans="1:41" ht="12.75">
      <c r="A102" s="35"/>
      <c r="B102" s="35"/>
      <c r="C102" s="35"/>
      <c r="D102" s="82"/>
      <c r="E102" s="69"/>
      <c r="F102" s="142"/>
      <c r="G102" s="142"/>
      <c r="H102" s="35"/>
      <c r="I102" s="35"/>
      <c r="J102" s="139"/>
      <c r="K102" s="35"/>
      <c r="L102" s="35"/>
      <c r="M102" s="35"/>
      <c r="N102" s="35"/>
      <c r="O102" s="35"/>
      <c r="P102" s="140"/>
      <c r="Q102" s="140"/>
      <c r="R102" s="62"/>
      <c r="S102" s="35"/>
      <c r="T102" s="142"/>
      <c r="U102" s="142"/>
      <c r="V102" s="142"/>
      <c r="W102" s="142"/>
      <c r="X102" s="143"/>
      <c r="Y102" s="143"/>
      <c r="Z102" s="82" t="s">
        <v>3960</v>
      </c>
      <c r="AA102" s="104"/>
      <c r="AB102" s="69"/>
      <c r="AC102" s="82">
        <v>540</v>
      </c>
      <c r="AD102" s="82">
        <v>173</v>
      </c>
      <c r="AE102" s="82">
        <v>655.2</v>
      </c>
      <c r="AF102" s="82">
        <v>24</v>
      </c>
      <c r="AG102" s="82">
        <f t="shared" si="4"/>
        <v>30569.0112</v>
      </c>
      <c r="AH102" s="82">
        <f t="shared" si="5"/>
        <v>9793.40544</v>
      </c>
      <c r="AI102" s="82">
        <v>30</v>
      </c>
      <c r="AJ102" s="82">
        <v>12</v>
      </c>
      <c r="AK102" s="35"/>
      <c r="AL102" s="35"/>
      <c r="AM102" s="127">
        <f t="shared" si="6"/>
        <v>11004844.032</v>
      </c>
      <c r="AN102" s="128">
        <f t="shared" si="7"/>
        <v>3525625.9584</v>
      </c>
      <c r="AO102" s="82"/>
    </row>
    <row r="103" spans="1:41" ht="12.75">
      <c r="A103" s="35"/>
      <c r="B103" s="35"/>
      <c r="C103" s="35"/>
      <c r="D103" s="82"/>
      <c r="E103" s="69"/>
      <c r="F103" s="142"/>
      <c r="G103" s="142"/>
      <c r="H103" s="35"/>
      <c r="I103" s="35"/>
      <c r="J103" s="139"/>
      <c r="K103" s="35"/>
      <c r="L103" s="35"/>
      <c r="M103" s="35"/>
      <c r="N103" s="35"/>
      <c r="O103" s="35"/>
      <c r="P103" s="140"/>
      <c r="Q103" s="140"/>
      <c r="R103" s="62"/>
      <c r="S103" s="35"/>
      <c r="T103" s="142"/>
      <c r="U103" s="142"/>
      <c r="V103" s="142"/>
      <c r="W103" s="142"/>
      <c r="X103" s="143"/>
      <c r="Y103" s="143"/>
      <c r="Z103" s="82" t="s">
        <v>3961</v>
      </c>
      <c r="AA103" s="104"/>
      <c r="AB103" s="69"/>
      <c r="AC103" s="82">
        <v>157</v>
      </c>
      <c r="AD103" s="82">
        <v>115</v>
      </c>
      <c r="AE103" s="82">
        <v>1008.8</v>
      </c>
      <c r="AF103" s="82">
        <v>24</v>
      </c>
      <c r="AG103" s="82">
        <f t="shared" si="4"/>
        <v>13684.170240000001</v>
      </c>
      <c r="AH103" s="82">
        <f t="shared" si="5"/>
        <v>10023.4368</v>
      </c>
      <c r="AI103" s="82">
        <v>30</v>
      </c>
      <c r="AJ103" s="82">
        <v>12</v>
      </c>
      <c r="AK103" s="35"/>
      <c r="AL103" s="35"/>
      <c r="AM103" s="127">
        <f t="shared" si="6"/>
        <v>4926301.286400001</v>
      </c>
      <c r="AN103" s="128">
        <f t="shared" si="7"/>
        <v>3608437.2479999997</v>
      </c>
      <c r="AO103" s="82"/>
    </row>
    <row r="104" spans="1:41" ht="12.75">
      <c r="A104" s="35"/>
      <c r="B104" s="35"/>
      <c r="C104" s="35"/>
      <c r="D104" s="82"/>
      <c r="E104" s="69"/>
      <c r="F104" s="142"/>
      <c r="G104" s="142"/>
      <c r="H104" s="35"/>
      <c r="I104" s="35"/>
      <c r="J104" s="139"/>
      <c r="K104" s="35"/>
      <c r="L104" s="35"/>
      <c r="M104" s="35"/>
      <c r="N104" s="35"/>
      <c r="O104" s="35"/>
      <c r="P104" s="140"/>
      <c r="Q104" s="140"/>
      <c r="R104" s="62"/>
      <c r="S104" s="35"/>
      <c r="T104" s="142"/>
      <c r="U104" s="142"/>
      <c r="V104" s="142"/>
      <c r="W104" s="142"/>
      <c r="X104" s="143"/>
      <c r="Y104" s="143"/>
      <c r="Z104" s="82" t="s">
        <v>3962</v>
      </c>
      <c r="AA104" s="104"/>
      <c r="AB104" s="69"/>
      <c r="AC104" s="82">
        <v>309</v>
      </c>
      <c r="AD104" s="82">
        <v>244</v>
      </c>
      <c r="AE104" s="82">
        <v>1095.6</v>
      </c>
      <c r="AF104" s="82">
        <v>24</v>
      </c>
      <c r="AG104" s="82">
        <f t="shared" si="4"/>
        <v>29249.890559999996</v>
      </c>
      <c r="AH104" s="82">
        <f t="shared" si="5"/>
        <v>23097.000959999998</v>
      </c>
      <c r="AI104" s="82">
        <v>30</v>
      </c>
      <c r="AJ104" s="82">
        <v>12</v>
      </c>
      <c r="AK104" s="35"/>
      <c r="AL104" s="35"/>
      <c r="AM104" s="127">
        <f t="shared" si="6"/>
        <v>10529960.601599999</v>
      </c>
      <c r="AN104" s="128">
        <f t="shared" si="7"/>
        <v>8314920.3456</v>
      </c>
      <c r="AO104" s="82"/>
    </row>
    <row r="105" spans="1:41" ht="25.5">
      <c r="A105" s="35">
        <v>62</v>
      </c>
      <c r="B105" s="35" t="s">
        <v>6</v>
      </c>
      <c r="C105" s="35" t="s">
        <v>6</v>
      </c>
      <c r="D105" s="82">
        <v>4</v>
      </c>
      <c r="E105" s="69" t="s">
        <v>771</v>
      </c>
      <c r="F105" s="142" t="s">
        <v>781</v>
      </c>
      <c r="G105" s="142" t="s">
        <v>2512</v>
      </c>
      <c r="H105" s="35" t="s">
        <v>4166</v>
      </c>
      <c r="I105" s="35" t="s">
        <v>4127</v>
      </c>
      <c r="J105" s="139">
        <v>29104391</v>
      </c>
      <c r="K105" s="35" t="s">
        <v>2438</v>
      </c>
      <c r="L105" s="35">
        <v>3447000</v>
      </c>
      <c r="M105" s="35" t="s">
        <v>3735</v>
      </c>
      <c r="N105" s="1" t="s">
        <v>4181</v>
      </c>
      <c r="O105" s="35">
        <v>3428</v>
      </c>
      <c r="P105" s="140">
        <v>43073</v>
      </c>
      <c r="Q105" s="140">
        <v>46724</v>
      </c>
      <c r="R105" s="62" t="s">
        <v>2440</v>
      </c>
      <c r="S105" s="35" t="s">
        <v>2442</v>
      </c>
      <c r="T105" s="142" t="s">
        <v>2444</v>
      </c>
      <c r="U105" s="142" t="s">
        <v>3229</v>
      </c>
      <c r="V105" s="142" t="s">
        <v>788</v>
      </c>
      <c r="W105" s="142">
        <v>2556</v>
      </c>
      <c r="X105" s="143">
        <v>100938.29</v>
      </c>
      <c r="Y105" s="143">
        <v>90103.94</v>
      </c>
      <c r="Z105" s="69" t="s">
        <v>3753</v>
      </c>
      <c r="AA105" s="67">
        <v>43776</v>
      </c>
      <c r="AB105" s="69" t="s">
        <v>3738</v>
      </c>
      <c r="AC105" s="82">
        <v>367</v>
      </c>
      <c r="AD105" s="82">
        <v>260</v>
      </c>
      <c r="AE105" s="82">
        <v>1.89</v>
      </c>
      <c r="AF105" s="69">
        <v>24</v>
      </c>
      <c r="AG105" s="95">
        <f>AE105*AC105*AF105*0.0036</f>
        <v>59.929632</v>
      </c>
      <c r="AH105" s="95">
        <f>AE105*AD105*AF105*0.0036</f>
        <v>42.456959999999995</v>
      </c>
      <c r="AI105" s="69">
        <v>30</v>
      </c>
      <c r="AJ105" s="35">
        <v>12</v>
      </c>
      <c r="AK105" s="35">
        <v>0.56</v>
      </c>
      <c r="AL105" s="35">
        <v>0.49</v>
      </c>
      <c r="AM105" s="117">
        <f aca="true" t="shared" si="8" ref="AM105:AM113">AG105*AI105*AJ105*AK105</f>
        <v>12081.813811200002</v>
      </c>
      <c r="AN105" s="118">
        <f aca="true" t="shared" si="9" ref="AN105:AN113">AH105*AI105*AJ105*AL105</f>
        <v>7489.407743999999</v>
      </c>
      <c r="AO105" s="82" t="s">
        <v>2456</v>
      </c>
    </row>
    <row r="106" spans="1:41" ht="25.5">
      <c r="A106" s="35">
        <v>63</v>
      </c>
      <c r="B106" s="35" t="s">
        <v>6</v>
      </c>
      <c r="C106" s="35" t="s">
        <v>6</v>
      </c>
      <c r="D106" s="82">
        <v>4</v>
      </c>
      <c r="E106" s="69" t="s">
        <v>772</v>
      </c>
      <c r="F106" s="142" t="s">
        <v>782</v>
      </c>
      <c r="G106" s="142" t="s">
        <v>2490</v>
      </c>
      <c r="H106" s="35" t="s">
        <v>4166</v>
      </c>
      <c r="I106" s="35" t="s">
        <v>4127</v>
      </c>
      <c r="J106" s="139">
        <v>29104391</v>
      </c>
      <c r="K106" s="35" t="s">
        <v>2438</v>
      </c>
      <c r="L106" s="35">
        <v>3447000</v>
      </c>
      <c r="M106" s="35" t="s">
        <v>3735</v>
      </c>
      <c r="N106" s="1" t="s">
        <v>4181</v>
      </c>
      <c r="O106" s="35">
        <v>3428</v>
      </c>
      <c r="P106" s="140">
        <v>43073</v>
      </c>
      <c r="Q106" s="140">
        <v>46724</v>
      </c>
      <c r="R106" s="62" t="s">
        <v>2440</v>
      </c>
      <c r="S106" s="141" t="s">
        <v>2441</v>
      </c>
      <c r="T106" s="142" t="s">
        <v>2444</v>
      </c>
      <c r="U106" s="142" t="s">
        <v>3230</v>
      </c>
      <c r="V106" s="142" t="s">
        <v>789</v>
      </c>
      <c r="W106" s="142">
        <v>2555</v>
      </c>
      <c r="X106" s="143">
        <v>100953.66</v>
      </c>
      <c r="Y106" s="143">
        <v>90094.08</v>
      </c>
      <c r="Z106" s="69" t="s">
        <v>3753</v>
      </c>
      <c r="AA106" s="67">
        <v>43685</v>
      </c>
      <c r="AB106" s="69" t="s">
        <v>2531</v>
      </c>
      <c r="AC106" s="82">
        <v>431</v>
      </c>
      <c r="AD106" s="82">
        <v>184</v>
      </c>
      <c r="AE106" s="82">
        <f>((8.65+9.593+3.977+4.079+3.875)/5)</f>
        <v>6.034800000000001</v>
      </c>
      <c r="AF106" s="69">
        <v>24</v>
      </c>
      <c r="AG106" s="95">
        <f>AE106*AC106*AF106*0.0036</f>
        <v>224.72629632000002</v>
      </c>
      <c r="AH106" s="95">
        <f>AE106*AD106*AF106*0.0036</f>
        <v>95.93883648000002</v>
      </c>
      <c r="AI106" s="69">
        <v>30</v>
      </c>
      <c r="AJ106" s="35">
        <v>12</v>
      </c>
      <c r="AK106" s="35">
        <v>0.51</v>
      </c>
      <c r="AL106" s="35">
        <v>0.48</v>
      </c>
      <c r="AM106" s="117">
        <f t="shared" si="8"/>
        <v>41259.748004352005</v>
      </c>
      <c r="AN106" s="118">
        <f t="shared" si="9"/>
        <v>16578.230943744</v>
      </c>
      <c r="AO106" s="82" t="s">
        <v>2456</v>
      </c>
    </row>
    <row r="107" spans="1:41" ht="12.75" customHeight="1">
      <c r="A107" s="35">
        <v>64</v>
      </c>
      <c r="B107" s="35" t="s">
        <v>6</v>
      </c>
      <c r="C107" s="35" t="s">
        <v>6</v>
      </c>
      <c r="D107" s="82">
        <v>4</v>
      </c>
      <c r="E107" s="69" t="s">
        <v>773</v>
      </c>
      <c r="F107" s="142" t="s">
        <v>783</v>
      </c>
      <c r="G107" s="142" t="s">
        <v>2490</v>
      </c>
      <c r="H107" s="35" t="s">
        <v>4166</v>
      </c>
      <c r="I107" s="35" t="s">
        <v>4127</v>
      </c>
      <c r="J107" s="139">
        <v>29104391</v>
      </c>
      <c r="K107" s="35" t="s">
        <v>2438</v>
      </c>
      <c r="L107" s="35">
        <v>3447000</v>
      </c>
      <c r="M107" s="35" t="s">
        <v>3735</v>
      </c>
      <c r="N107" s="1" t="s">
        <v>4181</v>
      </c>
      <c r="O107" s="35">
        <v>3428</v>
      </c>
      <c r="P107" s="140">
        <v>43073</v>
      </c>
      <c r="Q107" s="140">
        <v>46724</v>
      </c>
      <c r="R107" s="62" t="s">
        <v>2440</v>
      </c>
      <c r="S107" s="141" t="s">
        <v>2441</v>
      </c>
      <c r="T107" s="142" t="s">
        <v>2444</v>
      </c>
      <c r="U107" s="142" t="s">
        <v>3232</v>
      </c>
      <c r="V107" s="142" t="s">
        <v>3231</v>
      </c>
      <c r="W107" s="142">
        <v>2555</v>
      </c>
      <c r="X107" s="143">
        <v>100920.8</v>
      </c>
      <c r="Y107" s="143">
        <v>89354.03</v>
      </c>
      <c r="Z107" s="69" t="s">
        <v>3753</v>
      </c>
      <c r="AA107" s="67">
        <v>43685</v>
      </c>
      <c r="AB107" s="69" t="s">
        <v>3897</v>
      </c>
      <c r="AC107" s="82">
        <v>441</v>
      </c>
      <c r="AD107" s="82">
        <v>286</v>
      </c>
      <c r="AE107" s="82">
        <f>((57.531+53.712+43.211+48.939+52.758)/5)</f>
        <v>51.2302</v>
      </c>
      <c r="AF107" s="69">
        <v>24</v>
      </c>
      <c r="AG107" s="95">
        <f>AE107*AC107*AF107*0.0036</f>
        <v>1951.99357248</v>
      </c>
      <c r="AH107" s="95">
        <f>AE107*AD107*AF107*0.0036</f>
        <v>1265.9187340800001</v>
      </c>
      <c r="AI107" s="69">
        <v>30</v>
      </c>
      <c r="AJ107" s="35">
        <v>12</v>
      </c>
      <c r="AK107" s="35">
        <v>0.51</v>
      </c>
      <c r="AL107" s="35">
        <v>0.48</v>
      </c>
      <c r="AM107" s="117">
        <f t="shared" si="8"/>
        <v>358386.019907328</v>
      </c>
      <c r="AN107" s="118">
        <f t="shared" si="9"/>
        <v>218750.757249024</v>
      </c>
      <c r="AO107" s="82" t="s">
        <v>2456</v>
      </c>
    </row>
    <row r="108" spans="1:41" ht="25.5">
      <c r="A108" s="35">
        <v>65</v>
      </c>
      <c r="B108" s="35" t="s">
        <v>6</v>
      </c>
      <c r="C108" s="35" t="s">
        <v>6</v>
      </c>
      <c r="D108" s="82">
        <v>4</v>
      </c>
      <c r="E108" s="69" t="s">
        <v>774</v>
      </c>
      <c r="F108" s="142" t="s">
        <v>784</v>
      </c>
      <c r="G108" s="142" t="s">
        <v>2490</v>
      </c>
      <c r="H108" s="35" t="s">
        <v>4166</v>
      </c>
      <c r="I108" s="35" t="s">
        <v>4127</v>
      </c>
      <c r="J108" s="139">
        <v>29104391</v>
      </c>
      <c r="K108" s="35" t="s">
        <v>2438</v>
      </c>
      <c r="L108" s="35">
        <v>3447000</v>
      </c>
      <c r="M108" s="35" t="s">
        <v>3735</v>
      </c>
      <c r="N108" s="1" t="s">
        <v>4181</v>
      </c>
      <c r="O108" s="35">
        <v>3428</v>
      </c>
      <c r="P108" s="140">
        <v>43073</v>
      </c>
      <c r="Q108" s="140">
        <v>46724</v>
      </c>
      <c r="R108" s="62" t="s">
        <v>2440</v>
      </c>
      <c r="S108" s="141" t="s">
        <v>2441</v>
      </c>
      <c r="T108" s="142" t="s">
        <v>2444</v>
      </c>
      <c r="U108" s="142" t="s">
        <v>3234</v>
      </c>
      <c r="V108" s="142" t="s">
        <v>3233</v>
      </c>
      <c r="W108" s="142">
        <v>2555</v>
      </c>
      <c r="X108" s="143">
        <v>100913.74</v>
      </c>
      <c r="Y108" s="143">
        <v>89218.35</v>
      </c>
      <c r="Z108" s="69" t="s">
        <v>3753</v>
      </c>
      <c r="AA108" s="67">
        <v>43685</v>
      </c>
      <c r="AB108" s="82" t="s">
        <v>3898</v>
      </c>
      <c r="AC108" s="82">
        <v>533</v>
      </c>
      <c r="AD108" s="82">
        <v>366</v>
      </c>
      <c r="AE108" s="82">
        <f>((7.237+7.237+7.237+7.237+7.484)/5)</f>
        <v>7.2864</v>
      </c>
      <c r="AF108" s="69">
        <v>24</v>
      </c>
      <c r="AG108" s="95">
        <f>AE108*AC108*AF108*0.0036</f>
        <v>335.54746368</v>
      </c>
      <c r="AH108" s="95">
        <f>AE108*AD108*AF108*0.0036</f>
        <v>230.41345536</v>
      </c>
      <c r="AI108" s="69">
        <v>30</v>
      </c>
      <c r="AJ108" s="35">
        <v>12</v>
      </c>
      <c r="AK108" s="35">
        <v>0.54</v>
      </c>
      <c r="AL108" s="35">
        <v>0.48</v>
      </c>
      <c r="AM108" s="117">
        <f t="shared" si="8"/>
        <v>65230.42693939201</v>
      </c>
      <c r="AN108" s="118">
        <f t="shared" si="9"/>
        <v>39815.445086208</v>
      </c>
      <c r="AO108" s="82" t="s">
        <v>2456</v>
      </c>
    </row>
    <row r="109" spans="1:41" ht="12.75" hidden="1">
      <c r="A109" s="35">
        <v>66</v>
      </c>
      <c r="B109" s="35" t="s">
        <v>6</v>
      </c>
      <c r="C109" s="35" t="s">
        <v>6</v>
      </c>
      <c r="D109" s="82">
        <v>4</v>
      </c>
      <c r="E109" s="69" t="s">
        <v>775</v>
      </c>
      <c r="F109" s="142" t="s">
        <v>2101</v>
      </c>
      <c r="G109" s="142" t="s">
        <v>2490</v>
      </c>
      <c r="H109" s="35" t="s">
        <v>4166</v>
      </c>
      <c r="I109" s="35" t="s">
        <v>4127</v>
      </c>
      <c r="J109" s="139">
        <v>29104391</v>
      </c>
      <c r="K109" s="35" t="s">
        <v>2438</v>
      </c>
      <c r="L109" s="35">
        <v>3447000</v>
      </c>
      <c r="M109" s="35" t="s">
        <v>3735</v>
      </c>
      <c r="N109" s="1" t="s">
        <v>4181</v>
      </c>
      <c r="O109" s="35">
        <v>3428</v>
      </c>
      <c r="P109" s="140">
        <v>43073</v>
      </c>
      <c r="Q109" s="140">
        <v>46724</v>
      </c>
      <c r="R109" s="62" t="s">
        <v>2440</v>
      </c>
      <c r="S109" s="141" t="s">
        <v>2441</v>
      </c>
      <c r="T109" s="142" t="s">
        <v>2444</v>
      </c>
      <c r="U109" s="142" t="s">
        <v>3236</v>
      </c>
      <c r="V109" s="142" t="s">
        <v>3235</v>
      </c>
      <c r="W109" s="142">
        <v>2555</v>
      </c>
      <c r="X109" s="143">
        <v>100909.45</v>
      </c>
      <c r="Y109" s="143">
        <v>89024.09</v>
      </c>
      <c r="Z109" s="69" t="s">
        <v>3741</v>
      </c>
      <c r="AA109" s="104"/>
      <c r="AB109" s="82"/>
      <c r="AC109" s="82"/>
      <c r="AD109" s="82"/>
      <c r="AE109" s="82"/>
      <c r="AF109" s="69"/>
      <c r="AG109" s="95"/>
      <c r="AH109" s="95"/>
      <c r="AI109" s="69"/>
      <c r="AJ109" s="35"/>
      <c r="AK109" s="35"/>
      <c r="AL109" s="35"/>
      <c r="AM109" s="145">
        <f t="shared" si="8"/>
        <v>0</v>
      </c>
      <c r="AN109" s="146">
        <f t="shared" si="9"/>
        <v>0</v>
      </c>
      <c r="AO109" s="82" t="s">
        <v>2456</v>
      </c>
    </row>
    <row r="110" spans="1:41" ht="12.75" customHeight="1">
      <c r="A110" s="35">
        <v>67</v>
      </c>
      <c r="B110" s="35" t="s">
        <v>6</v>
      </c>
      <c r="C110" s="35" t="s">
        <v>6</v>
      </c>
      <c r="D110" s="82">
        <v>4</v>
      </c>
      <c r="E110" s="69" t="s">
        <v>776</v>
      </c>
      <c r="F110" s="142" t="s">
        <v>2101</v>
      </c>
      <c r="G110" s="142" t="s">
        <v>2490</v>
      </c>
      <c r="H110" s="35" t="s">
        <v>4166</v>
      </c>
      <c r="I110" s="35" t="s">
        <v>4127</v>
      </c>
      <c r="J110" s="139">
        <v>29104391</v>
      </c>
      <c r="K110" s="35" t="s">
        <v>2438</v>
      </c>
      <c r="L110" s="35">
        <v>3447000</v>
      </c>
      <c r="M110" s="35" t="s">
        <v>3735</v>
      </c>
      <c r="N110" s="1" t="s">
        <v>4181</v>
      </c>
      <c r="O110" s="35">
        <v>3428</v>
      </c>
      <c r="P110" s="140">
        <v>43073</v>
      </c>
      <c r="Q110" s="140">
        <v>46724</v>
      </c>
      <c r="R110" s="62" t="s">
        <v>2440</v>
      </c>
      <c r="S110" s="141" t="s">
        <v>2441</v>
      </c>
      <c r="T110" s="142" t="s">
        <v>2444</v>
      </c>
      <c r="U110" s="142" t="s">
        <v>3238</v>
      </c>
      <c r="V110" s="142" t="s">
        <v>3237</v>
      </c>
      <c r="W110" s="142">
        <v>2555</v>
      </c>
      <c r="X110" s="143">
        <v>100908.84</v>
      </c>
      <c r="Y110" s="143">
        <v>88913.08</v>
      </c>
      <c r="Z110" s="69" t="s">
        <v>3753</v>
      </c>
      <c r="AA110" s="67">
        <v>43685</v>
      </c>
      <c r="AB110" s="69" t="s">
        <v>3899</v>
      </c>
      <c r="AC110" s="82">
        <v>575</v>
      </c>
      <c r="AD110" s="82">
        <v>380</v>
      </c>
      <c r="AE110" s="82">
        <f>((10.151+9.478+9.926+10.375+10.151)/5)</f>
        <v>10.016200000000001</v>
      </c>
      <c r="AF110" s="69">
        <v>24</v>
      </c>
      <c r="AG110" s="95">
        <f>AE110*AC110*AF110*0.0036</f>
        <v>497.60481599999997</v>
      </c>
      <c r="AH110" s="95">
        <f>AE110*AD110*AF110*0.0036</f>
        <v>328.85187840000003</v>
      </c>
      <c r="AI110" s="69">
        <v>30</v>
      </c>
      <c r="AJ110" s="35">
        <v>12</v>
      </c>
      <c r="AK110" s="35">
        <v>0.54</v>
      </c>
      <c r="AL110" s="35">
        <v>0.48</v>
      </c>
      <c r="AM110" s="117">
        <f t="shared" si="8"/>
        <v>96734.3762304</v>
      </c>
      <c r="AN110" s="118">
        <f t="shared" si="9"/>
        <v>56825.60458752001</v>
      </c>
      <c r="AO110" s="82" t="s">
        <v>2456</v>
      </c>
    </row>
    <row r="111" spans="1:41" ht="12.75" customHeight="1">
      <c r="A111" s="35">
        <v>68</v>
      </c>
      <c r="B111" s="35" t="s">
        <v>6</v>
      </c>
      <c r="C111" s="35" t="s">
        <v>6</v>
      </c>
      <c r="D111" s="82">
        <v>4</v>
      </c>
      <c r="E111" s="69" t="s">
        <v>777</v>
      </c>
      <c r="F111" s="142" t="s">
        <v>813</v>
      </c>
      <c r="G111" s="142" t="s">
        <v>2512</v>
      </c>
      <c r="H111" s="35" t="s">
        <v>4166</v>
      </c>
      <c r="I111" s="35" t="s">
        <v>4127</v>
      </c>
      <c r="J111" s="139">
        <v>29104391</v>
      </c>
      <c r="K111" s="35" t="s">
        <v>2438</v>
      </c>
      <c r="L111" s="35">
        <v>3447000</v>
      </c>
      <c r="M111" s="35" t="s">
        <v>3735</v>
      </c>
      <c r="N111" s="1" t="s">
        <v>4181</v>
      </c>
      <c r="O111" s="35">
        <v>3428</v>
      </c>
      <c r="P111" s="140">
        <v>43073</v>
      </c>
      <c r="Q111" s="140">
        <v>46724</v>
      </c>
      <c r="R111" s="62" t="s">
        <v>2440</v>
      </c>
      <c r="S111" s="35" t="s">
        <v>2442</v>
      </c>
      <c r="T111" s="142" t="s">
        <v>2444</v>
      </c>
      <c r="U111" s="142" t="s">
        <v>3239</v>
      </c>
      <c r="V111" s="142" t="s">
        <v>790</v>
      </c>
      <c r="W111" s="142">
        <v>2555</v>
      </c>
      <c r="X111" s="143">
        <v>100894.97</v>
      </c>
      <c r="Y111" s="143">
        <v>89999.72</v>
      </c>
      <c r="Z111" s="69" t="s">
        <v>3753</v>
      </c>
      <c r="AA111" s="104">
        <v>43775</v>
      </c>
      <c r="AB111" s="82" t="s">
        <v>2541</v>
      </c>
      <c r="AC111" s="82">
        <v>507</v>
      </c>
      <c r="AD111" s="82">
        <v>328</v>
      </c>
      <c r="AE111" s="82">
        <v>1.64</v>
      </c>
      <c r="AF111" s="69">
        <v>24</v>
      </c>
      <c r="AG111" s="95">
        <f>AE111*AC111*AF111*0.0036</f>
        <v>71.83987199999999</v>
      </c>
      <c r="AH111" s="95">
        <f>AE111*AD111*AF111*0.0036</f>
        <v>46.47628799999999</v>
      </c>
      <c r="AI111" s="69">
        <v>30</v>
      </c>
      <c r="AJ111" s="35">
        <v>12</v>
      </c>
      <c r="AK111" s="35">
        <v>0.58</v>
      </c>
      <c r="AL111" s="35">
        <v>0.53</v>
      </c>
      <c r="AM111" s="117">
        <f t="shared" si="8"/>
        <v>15000.165273599996</v>
      </c>
      <c r="AN111" s="118">
        <f t="shared" si="9"/>
        <v>8867.6757504</v>
      </c>
      <c r="AO111" s="82" t="s">
        <v>2456</v>
      </c>
    </row>
    <row r="112" spans="1:41" ht="12.75" hidden="1">
      <c r="A112" s="35">
        <v>69</v>
      </c>
      <c r="B112" s="35" t="s">
        <v>6</v>
      </c>
      <c r="C112" s="35" t="s">
        <v>6</v>
      </c>
      <c r="D112" s="82">
        <v>4</v>
      </c>
      <c r="E112" s="69" t="s">
        <v>2135</v>
      </c>
      <c r="F112" s="142" t="s">
        <v>2136</v>
      </c>
      <c r="G112" s="142" t="s">
        <v>2512</v>
      </c>
      <c r="H112" s="35" t="s">
        <v>4166</v>
      </c>
      <c r="I112" s="35" t="s">
        <v>4127</v>
      </c>
      <c r="J112" s="139">
        <v>29104391</v>
      </c>
      <c r="K112" s="35" t="s">
        <v>2438</v>
      </c>
      <c r="L112" s="35">
        <v>3447000</v>
      </c>
      <c r="M112" s="35" t="s">
        <v>3735</v>
      </c>
      <c r="N112" s="1" t="s">
        <v>4181</v>
      </c>
      <c r="O112" s="35">
        <v>3428</v>
      </c>
      <c r="P112" s="140">
        <v>43073</v>
      </c>
      <c r="Q112" s="140">
        <v>46724</v>
      </c>
      <c r="R112" s="62" t="s">
        <v>2440</v>
      </c>
      <c r="S112" s="35" t="s">
        <v>2442</v>
      </c>
      <c r="T112" s="142" t="s">
        <v>2443</v>
      </c>
      <c r="U112" s="142" t="s">
        <v>3241</v>
      </c>
      <c r="V112" s="142" t="s">
        <v>3240</v>
      </c>
      <c r="W112" s="142">
        <v>2555</v>
      </c>
      <c r="X112" s="143">
        <v>100890.09</v>
      </c>
      <c r="Y112" s="143">
        <v>88947</v>
      </c>
      <c r="Z112" s="69" t="s">
        <v>3741</v>
      </c>
      <c r="AA112" s="82"/>
      <c r="AB112" s="82"/>
      <c r="AC112" s="82"/>
      <c r="AD112" s="82"/>
      <c r="AE112" s="82"/>
      <c r="AF112" s="69"/>
      <c r="AG112" s="95"/>
      <c r="AH112" s="95"/>
      <c r="AI112" s="69"/>
      <c r="AJ112" s="35"/>
      <c r="AK112" s="35"/>
      <c r="AL112" s="35"/>
      <c r="AM112" s="145">
        <f t="shared" si="8"/>
        <v>0</v>
      </c>
      <c r="AN112" s="146">
        <f t="shared" si="9"/>
        <v>0</v>
      </c>
      <c r="AO112" s="82" t="s">
        <v>2456</v>
      </c>
    </row>
    <row r="113" spans="1:41" ht="12.75" hidden="1">
      <c r="A113" s="35">
        <v>70</v>
      </c>
      <c r="B113" s="35" t="s">
        <v>6</v>
      </c>
      <c r="C113" s="35" t="s">
        <v>6</v>
      </c>
      <c r="D113" s="82">
        <v>4</v>
      </c>
      <c r="E113" s="69" t="s">
        <v>2137</v>
      </c>
      <c r="F113" s="142" t="s">
        <v>2138</v>
      </c>
      <c r="G113" s="142" t="s">
        <v>2512</v>
      </c>
      <c r="H113" s="35" t="s">
        <v>4166</v>
      </c>
      <c r="I113" s="35" t="s">
        <v>4127</v>
      </c>
      <c r="J113" s="139">
        <v>29104391</v>
      </c>
      <c r="K113" s="35" t="s">
        <v>2438</v>
      </c>
      <c r="L113" s="35">
        <v>3447000</v>
      </c>
      <c r="M113" s="35" t="s">
        <v>3735</v>
      </c>
      <c r="N113" s="1" t="s">
        <v>4181</v>
      </c>
      <c r="O113" s="35">
        <v>3428</v>
      </c>
      <c r="P113" s="140">
        <v>43073</v>
      </c>
      <c r="Q113" s="140">
        <v>46724</v>
      </c>
      <c r="R113" s="62" t="s">
        <v>2440</v>
      </c>
      <c r="S113" s="35" t="s">
        <v>2442</v>
      </c>
      <c r="T113" s="142" t="s">
        <v>2444</v>
      </c>
      <c r="U113" s="142" t="s">
        <v>3243</v>
      </c>
      <c r="V113" s="142" t="s">
        <v>3242</v>
      </c>
      <c r="W113" s="142">
        <v>2555</v>
      </c>
      <c r="X113" s="143">
        <v>100885.81</v>
      </c>
      <c r="Y113" s="143">
        <v>88370.38</v>
      </c>
      <c r="Z113" s="69" t="s">
        <v>3741</v>
      </c>
      <c r="AA113" s="82"/>
      <c r="AB113" s="82"/>
      <c r="AC113" s="82"/>
      <c r="AD113" s="82"/>
      <c r="AE113" s="82"/>
      <c r="AF113" s="69"/>
      <c r="AG113" s="95"/>
      <c r="AH113" s="95"/>
      <c r="AI113" s="69"/>
      <c r="AJ113" s="35"/>
      <c r="AK113" s="35"/>
      <c r="AL113" s="35"/>
      <c r="AM113" s="145">
        <f t="shared" si="8"/>
        <v>0</v>
      </c>
      <c r="AN113" s="146">
        <f t="shared" si="9"/>
        <v>0</v>
      </c>
      <c r="AO113" s="82" t="s">
        <v>2456</v>
      </c>
    </row>
    <row r="114" spans="1:41" ht="25.5">
      <c r="A114" s="148">
        <v>71</v>
      </c>
      <c r="B114" s="148" t="s">
        <v>6</v>
      </c>
      <c r="C114" s="148" t="s">
        <v>6</v>
      </c>
      <c r="D114" s="159">
        <v>4</v>
      </c>
      <c r="E114" s="149" t="s">
        <v>778</v>
      </c>
      <c r="F114" s="151" t="s">
        <v>2102</v>
      </c>
      <c r="G114" s="151" t="s">
        <v>2490</v>
      </c>
      <c r="H114" s="148" t="s">
        <v>4166</v>
      </c>
      <c r="I114" s="148" t="s">
        <v>4127</v>
      </c>
      <c r="J114" s="152">
        <v>29104391</v>
      </c>
      <c r="K114" s="148" t="s">
        <v>2438</v>
      </c>
      <c r="L114" s="148">
        <v>3447000</v>
      </c>
      <c r="M114" s="148" t="s">
        <v>3735</v>
      </c>
      <c r="N114" s="1" t="s">
        <v>4181</v>
      </c>
      <c r="O114" s="148">
        <v>3428</v>
      </c>
      <c r="P114" s="153">
        <v>43073</v>
      </c>
      <c r="Q114" s="153">
        <v>46724</v>
      </c>
      <c r="R114" s="150" t="s">
        <v>2440</v>
      </c>
      <c r="S114" s="155" t="s">
        <v>2441</v>
      </c>
      <c r="T114" s="151" t="s">
        <v>2444</v>
      </c>
      <c r="U114" s="151" t="s">
        <v>3244</v>
      </c>
      <c r="V114" s="151" t="s">
        <v>791</v>
      </c>
      <c r="W114" s="151">
        <v>2555</v>
      </c>
      <c r="X114" s="154">
        <v>100902.04</v>
      </c>
      <c r="Y114" s="154">
        <v>89901.05</v>
      </c>
      <c r="Z114" s="69" t="s">
        <v>3753</v>
      </c>
      <c r="AA114" s="104">
        <v>43742</v>
      </c>
      <c r="AB114" s="82" t="s">
        <v>3900</v>
      </c>
      <c r="AC114" s="82">
        <v>444</v>
      </c>
      <c r="AD114" s="82">
        <v>312</v>
      </c>
      <c r="AE114" s="82">
        <v>32.359</v>
      </c>
      <c r="AF114" s="69">
        <v>24</v>
      </c>
      <c r="AG114" s="95">
        <f>AE114*AC114*AF114*0.0036</f>
        <v>1241.3430144000001</v>
      </c>
      <c r="AH114" s="95">
        <f>AE114*AD114*AF114*0.0036</f>
        <v>872.2950911999999</v>
      </c>
      <c r="AI114" s="69">
        <v>30</v>
      </c>
      <c r="AJ114" s="35">
        <v>12</v>
      </c>
      <c r="AK114" s="35">
        <v>0.61</v>
      </c>
      <c r="AL114" s="35">
        <v>0.62</v>
      </c>
      <c r="AM114" s="117">
        <f>AG114*AI114*AJ114*AK114</f>
        <v>272598.92596223997</v>
      </c>
      <c r="AN114" s="118">
        <f>AH114*AI114*AJ114*AL114</f>
        <v>194696.26435583996</v>
      </c>
      <c r="AO114" s="82" t="s">
        <v>2456</v>
      </c>
    </row>
    <row r="115" spans="1:41" ht="12.75" customHeight="1">
      <c r="A115" s="35">
        <v>72</v>
      </c>
      <c r="B115" s="35" t="s">
        <v>6</v>
      </c>
      <c r="C115" s="35" t="s">
        <v>6</v>
      </c>
      <c r="D115" s="82">
        <v>4</v>
      </c>
      <c r="E115" s="69" t="s">
        <v>779</v>
      </c>
      <c r="F115" s="142" t="s">
        <v>2105</v>
      </c>
      <c r="G115" s="142" t="s">
        <v>2490</v>
      </c>
      <c r="H115" s="35" t="s">
        <v>4166</v>
      </c>
      <c r="I115" s="35" t="s">
        <v>4127</v>
      </c>
      <c r="J115" s="139">
        <v>29104391</v>
      </c>
      <c r="K115" s="35" t="s">
        <v>2438</v>
      </c>
      <c r="L115" s="35">
        <v>3447000</v>
      </c>
      <c r="M115" s="35" t="s">
        <v>3735</v>
      </c>
      <c r="N115" s="1" t="s">
        <v>4181</v>
      </c>
      <c r="O115" s="35">
        <v>3428</v>
      </c>
      <c r="P115" s="140">
        <v>43073</v>
      </c>
      <c r="Q115" s="140">
        <v>46724</v>
      </c>
      <c r="R115" s="62" t="s">
        <v>2440</v>
      </c>
      <c r="S115" s="35" t="s">
        <v>2442</v>
      </c>
      <c r="T115" s="142" t="s">
        <v>2444</v>
      </c>
      <c r="U115" s="142" t="s">
        <v>3245</v>
      </c>
      <c r="V115" s="142" t="s">
        <v>792</v>
      </c>
      <c r="W115" s="142">
        <v>2555</v>
      </c>
      <c r="X115" s="143">
        <v>100793.87</v>
      </c>
      <c r="Y115" s="143">
        <v>89841.84</v>
      </c>
      <c r="Z115" s="69" t="s">
        <v>3753</v>
      </c>
      <c r="AA115" s="104">
        <v>43775</v>
      </c>
      <c r="AB115" s="82" t="s">
        <v>3901</v>
      </c>
      <c r="AC115" s="82">
        <v>638</v>
      </c>
      <c r="AD115" s="82">
        <v>412</v>
      </c>
      <c r="AE115" s="82">
        <v>3.356</v>
      </c>
      <c r="AF115" s="69">
        <v>24</v>
      </c>
      <c r="AG115" s="95">
        <f aca="true" t="shared" si="10" ref="AG115:AG120">AE115*AC115*AF115*0.0036</f>
        <v>184.99345919999996</v>
      </c>
      <c r="AH115" s="95">
        <f aca="true" t="shared" si="11" ref="AH115:AH120">AE115*AD115*AF115*0.0036</f>
        <v>119.46286079999999</v>
      </c>
      <c r="AI115" s="69">
        <v>30</v>
      </c>
      <c r="AJ115" s="35">
        <v>12</v>
      </c>
      <c r="AK115" s="35">
        <v>0.54</v>
      </c>
      <c r="AL115" s="35">
        <v>0.52</v>
      </c>
      <c r="AM115" s="117">
        <f aca="true" t="shared" si="12" ref="AM115:AM129">AG115*AI115*AJ115*AK115</f>
        <v>35962.72846847999</v>
      </c>
      <c r="AN115" s="118">
        <f aca="true" t="shared" si="13" ref="AN115:AN129">AH115*AI115*AJ115*AL115</f>
        <v>22363.447541759997</v>
      </c>
      <c r="AO115" s="82" t="s">
        <v>2456</v>
      </c>
    </row>
    <row r="116" spans="1:41" ht="25.5">
      <c r="A116" s="35">
        <v>73</v>
      </c>
      <c r="B116" s="35" t="s">
        <v>6</v>
      </c>
      <c r="C116" s="35" t="s">
        <v>6</v>
      </c>
      <c r="D116" s="82">
        <v>4</v>
      </c>
      <c r="E116" s="69" t="s">
        <v>793</v>
      </c>
      <c r="F116" s="142" t="s">
        <v>2106</v>
      </c>
      <c r="G116" s="142" t="s">
        <v>2490</v>
      </c>
      <c r="H116" s="35" t="s">
        <v>4166</v>
      </c>
      <c r="I116" s="35" t="s">
        <v>4127</v>
      </c>
      <c r="J116" s="139">
        <v>29104391</v>
      </c>
      <c r="K116" s="35" t="s">
        <v>2438</v>
      </c>
      <c r="L116" s="35">
        <v>3447000</v>
      </c>
      <c r="M116" s="35" t="s">
        <v>3735</v>
      </c>
      <c r="N116" s="1" t="s">
        <v>4181</v>
      </c>
      <c r="O116" s="35">
        <v>3428</v>
      </c>
      <c r="P116" s="140">
        <v>43073</v>
      </c>
      <c r="Q116" s="140">
        <v>46724</v>
      </c>
      <c r="R116" s="62" t="s">
        <v>2440</v>
      </c>
      <c r="S116" s="35" t="s">
        <v>2442</v>
      </c>
      <c r="T116" s="142" t="s">
        <v>2444</v>
      </c>
      <c r="U116" s="142" t="s">
        <v>3246</v>
      </c>
      <c r="V116" s="142" t="s">
        <v>805</v>
      </c>
      <c r="W116" s="142">
        <v>2556</v>
      </c>
      <c r="X116" s="143">
        <v>100778.51</v>
      </c>
      <c r="Y116" s="143">
        <v>89821.49</v>
      </c>
      <c r="Z116" s="69" t="s">
        <v>3753</v>
      </c>
      <c r="AA116" s="104">
        <v>43775</v>
      </c>
      <c r="AB116" s="82" t="s">
        <v>3902</v>
      </c>
      <c r="AC116" s="82">
        <v>50</v>
      </c>
      <c r="AD116" s="82">
        <v>12</v>
      </c>
      <c r="AE116" s="82">
        <v>0.628</v>
      </c>
      <c r="AF116" s="69">
        <v>24</v>
      </c>
      <c r="AG116" s="95">
        <f t="shared" si="10"/>
        <v>2.71296</v>
      </c>
      <c r="AH116" s="95">
        <f t="shared" si="11"/>
        <v>0.6511103999999999</v>
      </c>
      <c r="AI116" s="69">
        <v>30</v>
      </c>
      <c r="AJ116" s="35">
        <v>12</v>
      </c>
      <c r="AK116" s="35">
        <v>0.51</v>
      </c>
      <c r="AL116" s="35">
        <v>0.48</v>
      </c>
      <c r="AM116" s="117">
        <f t="shared" si="12"/>
        <v>498.0994559999999</v>
      </c>
      <c r="AN116" s="118">
        <f t="shared" si="13"/>
        <v>112.51187711999997</v>
      </c>
      <c r="AO116" s="82" t="s">
        <v>2456</v>
      </c>
    </row>
    <row r="117" spans="1:41" ht="25.5">
      <c r="A117" s="35">
        <v>74</v>
      </c>
      <c r="B117" s="35" t="s">
        <v>6</v>
      </c>
      <c r="C117" s="35" t="s">
        <v>6</v>
      </c>
      <c r="D117" s="82">
        <v>4</v>
      </c>
      <c r="E117" s="69" t="s">
        <v>794</v>
      </c>
      <c r="F117" s="142" t="s">
        <v>2103</v>
      </c>
      <c r="G117" s="142" t="s">
        <v>2490</v>
      </c>
      <c r="H117" s="35" t="s">
        <v>4166</v>
      </c>
      <c r="I117" s="35" t="s">
        <v>4127</v>
      </c>
      <c r="J117" s="139">
        <v>29104391</v>
      </c>
      <c r="K117" s="35" t="s">
        <v>2438</v>
      </c>
      <c r="L117" s="35">
        <v>3447000</v>
      </c>
      <c r="M117" s="35" t="s">
        <v>3735</v>
      </c>
      <c r="N117" s="1" t="s">
        <v>4181</v>
      </c>
      <c r="O117" s="35">
        <v>3428</v>
      </c>
      <c r="P117" s="140">
        <v>43073</v>
      </c>
      <c r="Q117" s="140">
        <v>46724</v>
      </c>
      <c r="R117" s="62" t="s">
        <v>2440</v>
      </c>
      <c r="S117" s="141" t="s">
        <v>2441</v>
      </c>
      <c r="T117" s="142" t="s">
        <v>2444</v>
      </c>
      <c r="U117" s="156" t="s">
        <v>806</v>
      </c>
      <c r="V117" s="69" t="s">
        <v>807</v>
      </c>
      <c r="W117" s="142">
        <v>2556</v>
      </c>
      <c r="X117" s="143">
        <v>100792.95</v>
      </c>
      <c r="Y117" s="143">
        <v>89742.86</v>
      </c>
      <c r="Z117" s="2" t="s">
        <v>4046</v>
      </c>
      <c r="AA117" s="104"/>
      <c r="AB117" s="135"/>
      <c r="AC117" s="82"/>
      <c r="AD117" s="82"/>
      <c r="AE117" s="82"/>
      <c r="AF117" s="69"/>
      <c r="AG117" s="95"/>
      <c r="AH117" s="95"/>
      <c r="AI117" s="69"/>
      <c r="AJ117" s="35"/>
      <c r="AK117" s="35"/>
      <c r="AL117" s="35"/>
      <c r="AM117" s="117">
        <f>AVERAGE(AM118:AM119)</f>
        <v>51815.56573439999</v>
      </c>
      <c r="AN117" s="117">
        <f>AVERAGE(AN118:AN119)</f>
        <v>28815.89893632</v>
      </c>
      <c r="AO117" s="82" t="s">
        <v>2456</v>
      </c>
    </row>
    <row r="118" spans="1:41" ht="28.5" customHeight="1" hidden="1">
      <c r="A118" s="35"/>
      <c r="B118" s="35"/>
      <c r="C118" s="35"/>
      <c r="D118" s="82"/>
      <c r="E118" s="69"/>
      <c r="F118" s="142"/>
      <c r="G118" s="142"/>
      <c r="H118" s="35"/>
      <c r="I118" s="35"/>
      <c r="J118" s="139"/>
      <c r="K118" s="35"/>
      <c r="L118" s="35"/>
      <c r="M118" s="35"/>
      <c r="N118" s="1" t="s">
        <v>4181</v>
      </c>
      <c r="O118" s="35"/>
      <c r="P118" s="140"/>
      <c r="Q118" s="140"/>
      <c r="R118" s="62"/>
      <c r="S118" s="141"/>
      <c r="T118" s="142"/>
      <c r="U118" s="156"/>
      <c r="V118" s="69"/>
      <c r="W118" s="142"/>
      <c r="X118" s="143"/>
      <c r="Y118" s="143"/>
      <c r="Z118" s="69" t="s">
        <v>3753</v>
      </c>
      <c r="AA118" s="104">
        <v>43741</v>
      </c>
      <c r="AB118" s="135" t="s">
        <v>2532</v>
      </c>
      <c r="AC118" s="82">
        <v>270</v>
      </c>
      <c r="AD118" s="82">
        <v>196</v>
      </c>
      <c r="AE118" s="82">
        <v>9.734</v>
      </c>
      <c r="AF118" s="69">
        <v>24</v>
      </c>
      <c r="AG118" s="95">
        <f>AE118*AC118*AF118*0.0036</f>
        <v>227.07475199999996</v>
      </c>
      <c r="AH118" s="95">
        <f>AE118*AD118*AF118*0.0036</f>
        <v>164.83944960000002</v>
      </c>
      <c r="AI118" s="69">
        <v>30</v>
      </c>
      <c r="AJ118" s="35">
        <v>12</v>
      </c>
      <c r="AK118" s="35">
        <v>0.75</v>
      </c>
      <c r="AL118" s="35">
        <v>0.69</v>
      </c>
      <c r="AM118" s="127">
        <f>AG118*AI118*AJ118*AK118</f>
        <v>61310.18303999999</v>
      </c>
      <c r="AN118" s="128">
        <f>AH118*AI118*AJ118*AL118</f>
        <v>40946.11928064</v>
      </c>
      <c r="AO118" s="82"/>
    </row>
    <row r="119" spans="1:41" ht="41.25" customHeight="1" hidden="1">
      <c r="A119" s="35"/>
      <c r="B119" s="35"/>
      <c r="C119" s="35"/>
      <c r="D119" s="82"/>
      <c r="E119" s="69"/>
      <c r="F119" s="142"/>
      <c r="G119" s="142"/>
      <c r="H119" s="35"/>
      <c r="I119" s="35"/>
      <c r="J119" s="139"/>
      <c r="K119" s="35"/>
      <c r="L119" s="35"/>
      <c r="M119" s="35"/>
      <c r="N119" s="1" t="s">
        <v>4181</v>
      </c>
      <c r="O119" s="35"/>
      <c r="P119" s="140"/>
      <c r="Q119" s="140"/>
      <c r="R119" s="62"/>
      <c r="S119" s="141"/>
      <c r="T119" s="142"/>
      <c r="U119" s="156"/>
      <c r="V119" s="69"/>
      <c r="W119" s="142"/>
      <c r="X119" s="143"/>
      <c r="Y119" s="143"/>
      <c r="Z119" s="69" t="s">
        <v>4014</v>
      </c>
      <c r="AA119" s="104">
        <v>43712</v>
      </c>
      <c r="AB119" s="135" t="s">
        <v>3993</v>
      </c>
      <c r="AC119" s="82">
        <v>496</v>
      </c>
      <c r="AD119" s="82">
        <v>220</v>
      </c>
      <c r="AE119" s="82">
        <v>5.08</v>
      </c>
      <c r="AF119" s="69">
        <v>24</v>
      </c>
      <c r="AG119" s="95">
        <f>AE119*AC119*AF119*0.0036</f>
        <v>217.70035199999998</v>
      </c>
      <c r="AH119" s="95">
        <f>AE119*AD119*AF119*0.0036</f>
        <v>96.56063999999999</v>
      </c>
      <c r="AI119" s="69">
        <v>30</v>
      </c>
      <c r="AJ119" s="35">
        <v>12</v>
      </c>
      <c r="AK119" s="35">
        <v>0.54</v>
      </c>
      <c r="AL119" s="35">
        <v>0.48</v>
      </c>
      <c r="AM119" s="127">
        <f>AG119*AI119*AJ119*AK119</f>
        <v>42320.9484288</v>
      </c>
      <c r="AN119" s="128">
        <f>AH119*AI119*AJ119*AL119</f>
        <v>16685.678592</v>
      </c>
      <c r="AO119" s="82"/>
    </row>
    <row r="120" spans="1:41" ht="25.5">
      <c r="A120" s="35">
        <v>75</v>
      </c>
      <c r="B120" s="35" t="s">
        <v>6</v>
      </c>
      <c r="C120" s="35" t="s">
        <v>6</v>
      </c>
      <c r="D120" s="82">
        <v>4</v>
      </c>
      <c r="E120" s="69" t="s">
        <v>795</v>
      </c>
      <c r="F120" s="69" t="s">
        <v>2107</v>
      </c>
      <c r="G120" s="142" t="s">
        <v>2490</v>
      </c>
      <c r="H120" s="35" t="s">
        <v>4166</v>
      </c>
      <c r="I120" s="35" t="s">
        <v>4127</v>
      </c>
      <c r="J120" s="139">
        <v>29104391</v>
      </c>
      <c r="K120" s="35" t="s">
        <v>2438</v>
      </c>
      <c r="L120" s="35">
        <v>3447000</v>
      </c>
      <c r="M120" s="35" t="s">
        <v>3735</v>
      </c>
      <c r="N120" s="1" t="s">
        <v>4181</v>
      </c>
      <c r="O120" s="35">
        <v>3428</v>
      </c>
      <c r="P120" s="140">
        <v>43073</v>
      </c>
      <c r="Q120" s="140">
        <v>46724</v>
      </c>
      <c r="R120" s="62" t="s">
        <v>2440</v>
      </c>
      <c r="S120" s="141" t="s">
        <v>2441</v>
      </c>
      <c r="T120" s="142" t="s">
        <v>2444</v>
      </c>
      <c r="U120" s="82" t="s">
        <v>27</v>
      </c>
      <c r="V120" s="82" t="s">
        <v>3247</v>
      </c>
      <c r="W120" s="142">
        <v>2556</v>
      </c>
      <c r="X120" s="143">
        <v>100763.25</v>
      </c>
      <c r="Y120" s="143">
        <v>89522.54</v>
      </c>
      <c r="Z120" s="69" t="s">
        <v>3753</v>
      </c>
      <c r="AA120" s="104">
        <v>43686</v>
      </c>
      <c r="AB120" s="82" t="s">
        <v>2531</v>
      </c>
      <c r="AC120" s="82">
        <v>475</v>
      </c>
      <c r="AD120" s="82">
        <v>392</v>
      </c>
      <c r="AE120" s="82">
        <f>((0.781+0.985+0.985+0.934+0.87)/5)</f>
        <v>0.9109999999999999</v>
      </c>
      <c r="AF120" s="69">
        <v>24</v>
      </c>
      <c r="AG120" s="95">
        <f t="shared" si="10"/>
        <v>37.38744</v>
      </c>
      <c r="AH120" s="95">
        <f t="shared" si="11"/>
        <v>30.854476799999993</v>
      </c>
      <c r="AI120" s="69">
        <v>30</v>
      </c>
      <c r="AJ120" s="35">
        <v>12</v>
      </c>
      <c r="AK120" s="35">
        <v>0.51</v>
      </c>
      <c r="AL120" s="35">
        <v>0.48</v>
      </c>
      <c r="AM120" s="117">
        <f t="shared" si="12"/>
        <v>6864.333984</v>
      </c>
      <c r="AN120" s="118">
        <f t="shared" si="13"/>
        <v>5331.653591039999</v>
      </c>
      <c r="AO120" s="82" t="s">
        <v>2456</v>
      </c>
    </row>
    <row r="121" spans="1:41" ht="12.75" hidden="1">
      <c r="A121" s="35">
        <v>76</v>
      </c>
      <c r="B121" s="35" t="s">
        <v>6</v>
      </c>
      <c r="C121" s="35" t="s">
        <v>6</v>
      </c>
      <c r="D121" s="82">
        <v>4</v>
      </c>
      <c r="E121" s="69" t="s">
        <v>2139</v>
      </c>
      <c r="F121" s="69" t="s">
        <v>2140</v>
      </c>
      <c r="G121" s="142" t="s">
        <v>2490</v>
      </c>
      <c r="H121" s="35" t="s">
        <v>4166</v>
      </c>
      <c r="I121" s="35" t="s">
        <v>4127</v>
      </c>
      <c r="J121" s="139">
        <v>29104391</v>
      </c>
      <c r="K121" s="35" t="s">
        <v>2438</v>
      </c>
      <c r="L121" s="35">
        <v>3447000</v>
      </c>
      <c r="M121" s="35" t="s">
        <v>3735</v>
      </c>
      <c r="N121" s="1" t="s">
        <v>4181</v>
      </c>
      <c r="O121" s="35">
        <v>3428</v>
      </c>
      <c r="P121" s="140">
        <v>43073</v>
      </c>
      <c r="Q121" s="140">
        <v>46724</v>
      </c>
      <c r="R121" s="62" t="s">
        <v>2440</v>
      </c>
      <c r="S121" s="141" t="s">
        <v>2441</v>
      </c>
      <c r="T121" s="142" t="s">
        <v>2443</v>
      </c>
      <c r="U121" s="82" t="s">
        <v>3248</v>
      </c>
      <c r="V121" s="82" t="s">
        <v>2141</v>
      </c>
      <c r="W121" s="142">
        <v>2556</v>
      </c>
      <c r="X121" s="143">
        <v>100763.15</v>
      </c>
      <c r="Y121" s="143">
        <v>89522.38</v>
      </c>
      <c r="Z121" s="69" t="s">
        <v>3741</v>
      </c>
      <c r="AA121" s="82"/>
      <c r="AB121" s="82"/>
      <c r="AC121" s="82"/>
      <c r="AD121" s="82"/>
      <c r="AE121" s="82"/>
      <c r="AF121" s="69"/>
      <c r="AG121" s="95"/>
      <c r="AH121" s="95"/>
      <c r="AI121" s="69"/>
      <c r="AJ121" s="35"/>
      <c r="AK121" s="35"/>
      <c r="AL121" s="35"/>
      <c r="AM121" s="145">
        <f t="shared" si="12"/>
        <v>0</v>
      </c>
      <c r="AN121" s="146">
        <f t="shared" si="13"/>
        <v>0</v>
      </c>
      <c r="AO121" s="82" t="s">
        <v>2456</v>
      </c>
    </row>
    <row r="122" spans="1:41" ht="25.5">
      <c r="A122" s="35">
        <v>77</v>
      </c>
      <c r="B122" s="35" t="s">
        <v>6</v>
      </c>
      <c r="C122" s="35" t="s">
        <v>6</v>
      </c>
      <c r="D122" s="82">
        <v>4</v>
      </c>
      <c r="E122" s="69" t="s">
        <v>796</v>
      </c>
      <c r="F122" s="69" t="s">
        <v>2108</v>
      </c>
      <c r="G122" s="142" t="s">
        <v>2490</v>
      </c>
      <c r="H122" s="35" t="s">
        <v>4166</v>
      </c>
      <c r="I122" s="35" t="s">
        <v>4127</v>
      </c>
      <c r="J122" s="139">
        <v>29104391</v>
      </c>
      <c r="K122" s="35" t="s">
        <v>2438</v>
      </c>
      <c r="L122" s="35">
        <v>3447000</v>
      </c>
      <c r="M122" s="35" t="s">
        <v>3735</v>
      </c>
      <c r="N122" s="1" t="s">
        <v>4181</v>
      </c>
      <c r="O122" s="35">
        <v>3428</v>
      </c>
      <c r="P122" s="140">
        <v>43073</v>
      </c>
      <c r="Q122" s="140">
        <v>46724</v>
      </c>
      <c r="R122" s="62" t="s">
        <v>2440</v>
      </c>
      <c r="S122" s="141" t="s">
        <v>2441</v>
      </c>
      <c r="T122" s="142" t="s">
        <v>2444</v>
      </c>
      <c r="U122" s="82" t="s">
        <v>29</v>
      </c>
      <c r="V122" s="82" t="s">
        <v>3249</v>
      </c>
      <c r="W122" s="82">
        <v>2557</v>
      </c>
      <c r="X122" s="143">
        <v>100767.55</v>
      </c>
      <c r="Y122" s="143">
        <v>89489.67</v>
      </c>
      <c r="Z122" s="69" t="s">
        <v>3753</v>
      </c>
      <c r="AA122" s="104">
        <v>43686</v>
      </c>
      <c r="AB122" s="82" t="s">
        <v>3898</v>
      </c>
      <c r="AC122" s="82">
        <v>437</v>
      </c>
      <c r="AD122" s="82">
        <v>254</v>
      </c>
      <c r="AE122" s="82">
        <f>((0.568+0.6+0.422+0.471+0.527)/5)</f>
        <v>0.5176000000000001</v>
      </c>
      <c r="AF122" s="69">
        <v>24</v>
      </c>
      <c r="AG122" s="95">
        <f>AE122*AC122*AF122*0.0036</f>
        <v>19.542919680000004</v>
      </c>
      <c r="AH122" s="95">
        <f>AE122*AD122*AF122*0.0036</f>
        <v>11.35904256</v>
      </c>
      <c r="AI122" s="69">
        <v>30</v>
      </c>
      <c r="AJ122" s="35">
        <v>12</v>
      </c>
      <c r="AK122" s="35">
        <v>0.54</v>
      </c>
      <c r="AL122" s="35">
        <v>0.48</v>
      </c>
      <c r="AM122" s="117">
        <f t="shared" si="12"/>
        <v>3799.1435857920005</v>
      </c>
      <c r="AN122" s="118">
        <f t="shared" si="13"/>
        <v>1962.842554368</v>
      </c>
      <c r="AO122" s="82" t="s">
        <v>2456</v>
      </c>
    </row>
    <row r="123" spans="1:41" ht="43.5" customHeight="1">
      <c r="A123" s="35">
        <v>78</v>
      </c>
      <c r="B123" s="35" t="s">
        <v>6</v>
      </c>
      <c r="C123" s="35" t="s">
        <v>6</v>
      </c>
      <c r="D123" s="82">
        <v>4</v>
      </c>
      <c r="E123" s="69" t="s">
        <v>797</v>
      </c>
      <c r="F123" s="69" t="s">
        <v>2109</v>
      </c>
      <c r="G123" s="142" t="s">
        <v>2490</v>
      </c>
      <c r="H123" s="35" t="s">
        <v>4166</v>
      </c>
      <c r="I123" s="35" t="s">
        <v>4127</v>
      </c>
      <c r="J123" s="139">
        <v>29104391</v>
      </c>
      <c r="K123" s="35" t="s">
        <v>2438</v>
      </c>
      <c r="L123" s="35">
        <v>3447000</v>
      </c>
      <c r="M123" s="35" t="s">
        <v>3735</v>
      </c>
      <c r="N123" s="1" t="s">
        <v>4181</v>
      </c>
      <c r="O123" s="35">
        <v>3428</v>
      </c>
      <c r="P123" s="140">
        <v>43073</v>
      </c>
      <c r="Q123" s="140">
        <v>46724</v>
      </c>
      <c r="R123" s="62" t="s">
        <v>2440</v>
      </c>
      <c r="S123" s="141" t="s">
        <v>2441</v>
      </c>
      <c r="T123" s="142" t="s">
        <v>2444</v>
      </c>
      <c r="U123" s="82" t="s">
        <v>28</v>
      </c>
      <c r="V123" s="82" t="s">
        <v>3250</v>
      </c>
      <c r="W123" s="82">
        <v>2557</v>
      </c>
      <c r="X123" s="143">
        <v>100763.12</v>
      </c>
      <c r="Y123" s="143">
        <v>89515.35</v>
      </c>
      <c r="Z123" s="2" t="s">
        <v>4046</v>
      </c>
      <c r="AA123" s="104"/>
      <c r="AB123" s="82"/>
      <c r="AC123" s="82"/>
      <c r="AD123" s="82"/>
      <c r="AE123" s="82"/>
      <c r="AF123" s="69"/>
      <c r="AG123" s="95"/>
      <c r="AH123" s="95"/>
      <c r="AI123" s="69"/>
      <c r="AJ123" s="35"/>
      <c r="AK123" s="35"/>
      <c r="AL123" s="35"/>
      <c r="AM123" s="117">
        <f>AVERAGE(AM124:AM125)</f>
        <v>36645.52176576</v>
      </c>
      <c r="AN123" s="117">
        <f>AVERAGE(AN124:AN125)</f>
        <v>21580.258775039998</v>
      </c>
      <c r="AO123" s="82" t="s">
        <v>2456</v>
      </c>
    </row>
    <row r="124" spans="1:41" ht="43.5" customHeight="1" hidden="1">
      <c r="A124" s="35"/>
      <c r="B124" s="35"/>
      <c r="C124" s="35"/>
      <c r="D124" s="82"/>
      <c r="E124" s="69"/>
      <c r="F124" s="69"/>
      <c r="G124" s="142"/>
      <c r="H124" s="35"/>
      <c r="I124" s="35"/>
      <c r="J124" s="139"/>
      <c r="K124" s="35"/>
      <c r="L124" s="35"/>
      <c r="M124" s="35"/>
      <c r="N124" s="1" t="s">
        <v>4181</v>
      </c>
      <c r="O124" s="35"/>
      <c r="P124" s="140"/>
      <c r="Q124" s="140"/>
      <c r="R124" s="62"/>
      <c r="S124" s="141"/>
      <c r="T124" s="142"/>
      <c r="U124" s="82"/>
      <c r="V124" s="82"/>
      <c r="W124" s="82"/>
      <c r="X124" s="143"/>
      <c r="Y124" s="143"/>
      <c r="Z124" s="69" t="s">
        <v>3753</v>
      </c>
      <c r="AA124" s="104">
        <v>43686</v>
      </c>
      <c r="AB124" s="82" t="s">
        <v>3903</v>
      </c>
      <c r="AC124" s="82">
        <v>471</v>
      </c>
      <c r="AD124" s="82">
        <v>358</v>
      </c>
      <c r="AE124" s="82">
        <f>((4.488+4.353+4.083+4.623+4.218)/5)</f>
        <v>4.353</v>
      </c>
      <c r="AF124" s="69">
        <v>24</v>
      </c>
      <c r="AG124" s="95">
        <f>AE124*AC124*AF124*0.0036</f>
        <v>177.14272319999998</v>
      </c>
      <c r="AH124" s="95">
        <f>AE124*AD124*AF124*0.0036</f>
        <v>134.6435136</v>
      </c>
      <c r="AI124" s="69">
        <v>30</v>
      </c>
      <c r="AJ124" s="35">
        <v>12</v>
      </c>
      <c r="AK124" s="35">
        <v>0.51</v>
      </c>
      <c r="AL124" s="35">
        <v>0.48</v>
      </c>
      <c r="AM124" s="127">
        <f>AG124*AI124*AJ124*AK124</f>
        <v>32523.403979519997</v>
      </c>
      <c r="AN124" s="128">
        <f>AH124*AI124*AJ124*AL124</f>
        <v>23266.39915008</v>
      </c>
      <c r="AO124" s="82"/>
    </row>
    <row r="125" spans="1:41" ht="43.5" customHeight="1" hidden="1">
      <c r="A125" s="35"/>
      <c r="B125" s="35"/>
      <c r="C125" s="35"/>
      <c r="D125" s="82"/>
      <c r="E125" s="69"/>
      <c r="F125" s="69"/>
      <c r="G125" s="142"/>
      <c r="H125" s="35"/>
      <c r="I125" s="35"/>
      <c r="J125" s="139"/>
      <c r="K125" s="35"/>
      <c r="L125" s="35"/>
      <c r="M125" s="35"/>
      <c r="N125" s="1" t="s">
        <v>4181</v>
      </c>
      <c r="O125" s="35"/>
      <c r="P125" s="140"/>
      <c r="Q125" s="140"/>
      <c r="R125" s="62"/>
      <c r="S125" s="141"/>
      <c r="T125" s="142"/>
      <c r="U125" s="82"/>
      <c r="V125" s="82"/>
      <c r="W125" s="82"/>
      <c r="X125" s="143"/>
      <c r="Y125" s="143"/>
      <c r="Z125" s="69" t="s">
        <v>4015</v>
      </c>
      <c r="AA125" s="104">
        <v>43712</v>
      </c>
      <c r="AB125" s="135" t="s">
        <v>3994</v>
      </c>
      <c r="AC125" s="82">
        <v>592</v>
      </c>
      <c r="AD125" s="82">
        <v>325</v>
      </c>
      <c r="AE125" s="82">
        <v>4.1</v>
      </c>
      <c r="AF125" s="69">
        <v>24</v>
      </c>
      <c r="AG125" s="95">
        <f>AE125*AC125*AF125*0.0036</f>
        <v>209.71007999999998</v>
      </c>
      <c r="AH125" s="95">
        <f>AE125*AD125*AF125*0.0036</f>
        <v>115.12799999999997</v>
      </c>
      <c r="AI125" s="69">
        <v>30</v>
      </c>
      <c r="AJ125" s="35">
        <v>12</v>
      </c>
      <c r="AK125" s="35">
        <v>0.54</v>
      </c>
      <c r="AL125" s="35">
        <v>0.48</v>
      </c>
      <c r="AM125" s="127">
        <f>AG125*AI125*AJ125*AK125</f>
        <v>40767.639552</v>
      </c>
      <c r="AN125" s="128">
        <f>AH125*AI125*AJ125*AL125</f>
        <v>19894.118399999992</v>
      </c>
      <c r="AO125" s="82"/>
    </row>
    <row r="126" spans="1:41" ht="25.5">
      <c r="A126" s="35">
        <v>79</v>
      </c>
      <c r="B126" s="35" t="s">
        <v>6</v>
      </c>
      <c r="C126" s="35" t="s">
        <v>6</v>
      </c>
      <c r="D126" s="82">
        <v>4</v>
      </c>
      <c r="E126" s="69" t="s">
        <v>798</v>
      </c>
      <c r="F126" s="69" t="s">
        <v>2110</v>
      </c>
      <c r="G126" s="142" t="s">
        <v>2490</v>
      </c>
      <c r="H126" s="35" t="s">
        <v>4166</v>
      </c>
      <c r="I126" s="35" t="s">
        <v>4127</v>
      </c>
      <c r="J126" s="139">
        <v>29104391</v>
      </c>
      <c r="K126" s="35" t="s">
        <v>2438</v>
      </c>
      <c r="L126" s="35">
        <v>3447000</v>
      </c>
      <c r="M126" s="35" t="s">
        <v>3735</v>
      </c>
      <c r="N126" s="1" t="s">
        <v>4181</v>
      </c>
      <c r="O126" s="35">
        <v>3428</v>
      </c>
      <c r="P126" s="140">
        <v>43073</v>
      </c>
      <c r="Q126" s="140">
        <v>46724</v>
      </c>
      <c r="R126" s="62" t="s">
        <v>2440</v>
      </c>
      <c r="S126" s="141" t="s">
        <v>2441</v>
      </c>
      <c r="T126" s="142" t="s">
        <v>2444</v>
      </c>
      <c r="U126" s="82" t="s">
        <v>30</v>
      </c>
      <c r="V126" s="82" t="s">
        <v>3251</v>
      </c>
      <c r="W126" s="82">
        <v>2558</v>
      </c>
      <c r="X126" s="143">
        <v>100780.92</v>
      </c>
      <c r="Y126" s="143">
        <v>89412.61</v>
      </c>
      <c r="Z126" s="69" t="s">
        <v>3753</v>
      </c>
      <c r="AA126" s="104">
        <v>43686</v>
      </c>
      <c r="AB126" s="82" t="s">
        <v>3737</v>
      </c>
      <c r="AC126" s="82">
        <v>538</v>
      </c>
      <c r="AD126" s="82">
        <v>376</v>
      </c>
      <c r="AE126" s="82">
        <f>((3.662+3.662+4.367+4.315+4.08)/5)</f>
        <v>4.0172</v>
      </c>
      <c r="AF126" s="69">
        <v>24</v>
      </c>
      <c r="AG126" s="95">
        <f>AE126*AC126*AF126*0.0036</f>
        <v>186.73231103999998</v>
      </c>
      <c r="AH126" s="95">
        <f>AE126*AD126*AF126*0.0036</f>
        <v>130.50436608</v>
      </c>
      <c r="AI126" s="69">
        <v>30</v>
      </c>
      <c r="AJ126" s="35">
        <v>12</v>
      </c>
      <c r="AK126" s="35">
        <v>0.54</v>
      </c>
      <c r="AL126" s="35">
        <v>0.48</v>
      </c>
      <c r="AM126" s="117">
        <f t="shared" si="12"/>
        <v>36300.761266176</v>
      </c>
      <c r="AN126" s="118">
        <f t="shared" si="13"/>
        <v>22551.154458624</v>
      </c>
      <c r="AO126" s="82" t="s">
        <v>2456</v>
      </c>
    </row>
    <row r="127" spans="1:41" ht="32.25" customHeight="1">
      <c r="A127" s="184">
        <v>80</v>
      </c>
      <c r="B127" s="184" t="s">
        <v>6</v>
      </c>
      <c r="C127" s="184" t="s">
        <v>6</v>
      </c>
      <c r="D127" s="93">
        <v>4</v>
      </c>
      <c r="E127" s="69" t="s">
        <v>799</v>
      </c>
      <c r="F127" s="93" t="s">
        <v>2111</v>
      </c>
      <c r="G127" s="186" t="s">
        <v>2490</v>
      </c>
      <c r="H127" s="184" t="s">
        <v>4166</v>
      </c>
      <c r="I127" s="184" t="s">
        <v>4127</v>
      </c>
      <c r="J127" s="187">
        <v>29104391</v>
      </c>
      <c r="K127" s="184" t="s">
        <v>2438</v>
      </c>
      <c r="L127" s="184">
        <v>3447000</v>
      </c>
      <c r="M127" s="184" t="s">
        <v>3735</v>
      </c>
      <c r="N127" s="1" t="s">
        <v>4181</v>
      </c>
      <c r="O127" s="184">
        <v>3428</v>
      </c>
      <c r="P127" s="188">
        <v>43073</v>
      </c>
      <c r="Q127" s="188">
        <v>46724</v>
      </c>
      <c r="R127" s="185" t="s">
        <v>2440</v>
      </c>
      <c r="S127" s="195" t="s">
        <v>2441</v>
      </c>
      <c r="T127" s="186" t="s">
        <v>2444</v>
      </c>
      <c r="U127" s="93" t="s">
        <v>31</v>
      </c>
      <c r="V127" s="93" t="s">
        <v>3252</v>
      </c>
      <c r="W127" s="93">
        <v>2559</v>
      </c>
      <c r="X127" s="189">
        <v>100776.68</v>
      </c>
      <c r="Y127" s="189">
        <v>89336.76</v>
      </c>
      <c r="Z127" s="2" t="s">
        <v>4046</v>
      </c>
      <c r="AA127" s="104"/>
      <c r="AB127" s="82"/>
      <c r="AC127" s="82"/>
      <c r="AD127" s="82"/>
      <c r="AE127" s="82"/>
      <c r="AF127" s="69"/>
      <c r="AG127" s="95"/>
      <c r="AH127" s="95"/>
      <c r="AI127" s="69"/>
      <c r="AJ127" s="35"/>
      <c r="AK127" s="35"/>
      <c r="AL127" s="35"/>
      <c r="AM127" s="117">
        <f>AVERAGE(AM128:AM129)</f>
        <v>53358.0037632</v>
      </c>
      <c r="AN127" s="117">
        <f>AVERAGE(AN128:AN129)</f>
        <v>38360.00332799999</v>
      </c>
      <c r="AO127" s="159"/>
    </row>
    <row r="128" spans="1:41" ht="25.5" hidden="1">
      <c r="A128" s="184"/>
      <c r="B128" s="184"/>
      <c r="C128" s="184"/>
      <c r="D128" s="93"/>
      <c r="E128" s="178"/>
      <c r="F128" s="93"/>
      <c r="G128" s="186"/>
      <c r="H128" s="184"/>
      <c r="I128" s="184"/>
      <c r="J128" s="187"/>
      <c r="K128" s="184"/>
      <c r="L128" s="184"/>
      <c r="M128" s="184"/>
      <c r="N128" s="1" t="s">
        <v>4181</v>
      </c>
      <c r="O128" s="184"/>
      <c r="P128" s="188"/>
      <c r="Q128" s="188"/>
      <c r="R128" s="185"/>
      <c r="S128" s="195"/>
      <c r="T128" s="186"/>
      <c r="U128" s="93"/>
      <c r="V128" s="93"/>
      <c r="W128" s="93"/>
      <c r="X128" s="189"/>
      <c r="Y128" s="189"/>
      <c r="Z128" s="69" t="s">
        <v>3753</v>
      </c>
      <c r="AA128" s="104">
        <v>43734</v>
      </c>
      <c r="AB128" s="82" t="s">
        <v>3901</v>
      </c>
      <c r="AC128" s="82">
        <v>296</v>
      </c>
      <c r="AD128" s="82">
        <v>240</v>
      </c>
      <c r="AE128" s="82">
        <v>7.955</v>
      </c>
      <c r="AF128" s="69">
        <v>24</v>
      </c>
      <c r="AG128" s="95">
        <f>AE128*AC128*AF128*0.0036</f>
        <v>203.44435199999998</v>
      </c>
      <c r="AH128" s="95">
        <f>AE128*AD128*AF128*0.0036</f>
        <v>164.95488</v>
      </c>
      <c r="AI128" s="69">
        <v>30</v>
      </c>
      <c r="AJ128" s="35">
        <v>12</v>
      </c>
      <c r="AK128" s="35">
        <v>0.54</v>
      </c>
      <c r="AL128" s="35">
        <v>0.52</v>
      </c>
      <c r="AM128" s="127">
        <f t="shared" si="12"/>
        <v>39549.5820288</v>
      </c>
      <c r="AN128" s="128">
        <f t="shared" si="13"/>
        <v>30879.553536</v>
      </c>
      <c r="AO128" s="230" t="s">
        <v>2456</v>
      </c>
    </row>
    <row r="129" spans="1:41" ht="35.25" customHeight="1" hidden="1">
      <c r="A129" s="184"/>
      <c r="B129" s="184"/>
      <c r="C129" s="184"/>
      <c r="D129" s="93"/>
      <c r="E129" s="178"/>
      <c r="F129" s="93"/>
      <c r="G129" s="186"/>
      <c r="H129" s="184"/>
      <c r="I129" s="184"/>
      <c r="J129" s="187"/>
      <c r="K129" s="184"/>
      <c r="L129" s="184"/>
      <c r="M129" s="184"/>
      <c r="N129" s="1" t="s">
        <v>4181</v>
      </c>
      <c r="O129" s="184"/>
      <c r="P129" s="188"/>
      <c r="Q129" s="188"/>
      <c r="R129" s="185"/>
      <c r="S129" s="195"/>
      <c r="T129" s="186"/>
      <c r="U129" s="93"/>
      <c r="V129" s="93"/>
      <c r="W129" s="93"/>
      <c r="X129" s="189"/>
      <c r="Y129" s="189"/>
      <c r="Z129" s="35" t="s">
        <v>4016</v>
      </c>
      <c r="AA129" s="104">
        <v>43712</v>
      </c>
      <c r="AB129" s="82" t="s">
        <v>3904</v>
      </c>
      <c r="AC129" s="82">
        <v>416</v>
      </c>
      <c r="AD129" s="82">
        <v>280</v>
      </c>
      <c r="AE129" s="82">
        <v>3.63</v>
      </c>
      <c r="AF129" s="69">
        <v>24</v>
      </c>
      <c r="AG129" s="95">
        <f>AE129*AC129*AF129*0.0036</f>
        <v>130.470912</v>
      </c>
      <c r="AH129" s="95">
        <f>AE129*AD129*AF129*0.0036</f>
        <v>87.81696</v>
      </c>
      <c r="AI129" s="69">
        <v>30</v>
      </c>
      <c r="AJ129" s="35">
        <v>12</v>
      </c>
      <c r="AK129" s="35">
        <v>1.43</v>
      </c>
      <c r="AL129" s="35">
        <v>1.45</v>
      </c>
      <c r="AM129" s="127">
        <f t="shared" si="12"/>
        <v>67166.4254976</v>
      </c>
      <c r="AN129" s="128">
        <f t="shared" si="13"/>
        <v>45840.45311999999</v>
      </c>
      <c r="AO129" s="231"/>
    </row>
    <row r="130" spans="1:41" ht="32.25" customHeight="1">
      <c r="A130" s="35">
        <v>81</v>
      </c>
      <c r="B130" s="35" t="s">
        <v>6</v>
      </c>
      <c r="C130" s="35" t="s">
        <v>6</v>
      </c>
      <c r="D130" s="82">
        <v>4</v>
      </c>
      <c r="E130" s="69" t="s">
        <v>800</v>
      </c>
      <c r="F130" s="82" t="s">
        <v>2104</v>
      </c>
      <c r="G130" s="142" t="s">
        <v>2490</v>
      </c>
      <c r="H130" s="35" t="s">
        <v>4166</v>
      </c>
      <c r="I130" s="35" t="s">
        <v>4127</v>
      </c>
      <c r="J130" s="139">
        <v>29104391</v>
      </c>
      <c r="K130" s="35" t="s">
        <v>2438</v>
      </c>
      <c r="L130" s="35">
        <v>3447000</v>
      </c>
      <c r="M130" s="35" t="s">
        <v>3735</v>
      </c>
      <c r="N130" s="1" t="s">
        <v>4181</v>
      </c>
      <c r="O130" s="35">
        <v>3428</v>
      </c>
      <c r="P130" s="140">
        <v>43073</v>
      </c>
      <c r="Q130" s="140">
        <v>46724</v>
      </c>
      <c r="R130" s="62" t="s">
        <v>2440</v>
      </c>
      <c r="S130" s="141" t="s">
        <v>2441</v>
      </c>
      <c r="T130" s="142" t="s">
        <v>2444</v>
      </c>
      <c r="U130" s="82" t="s">
        <v>32</v>
      </c>
      <c r="V130" s="82" t="s">
        <v>3253</v>
      </c>
      <c r="W130" s="82">
        <v>2562</v>
      </c>
      <c r="X130" s="143">
        <v>100792.45</v>
      </c>
      <c r="Y130" s="143">
        <v>89195.5</v>
      </c>
      <c r="Z130" s="69" t="s">
        <v>3753</v>
      </c>
      <c r="AA130" s="104">
        <v>43734</v>
      </c>
      <c r="AB130" s="82" t="s">
        <v>2531</v>
      </c>
      <c r="AC130" s="82">
        <v>236</v>
      </c>
      <c r="AD130" s="82">
        <v>94</v>
      </c>
      <c r="AE130" s="82">
        <v>0.165</v>
      </c>
      <c r="AF130" s="69">
        <v>24</v>
      </c>
      <c r="AG130" s="95">
        <f>AE130*AC130*AF130*0.0036</f>
        <v>3.3644160000000007</v>
      </c>
      <c r="AH130" s="95">
        <f>AE130*AD130*AF130*0.0036</f>
        <v>1.340064</v>
      </c>
      <c r="AI130" s="69">
        <v>30</v>
      </c>
      <c r="AJ130" s="35">
        <v>12</v>
      </c>
      <c r="AK130" s="35">
        <v>0.51</v>
      </c>
      <c r="AL130" s="35">
        <v>0.48</v>
      </c>
      <c r="AM130" s="117">
        <f aca="true" t="shared" si="14" ref="AM130:AM135">AG130*AI130*AJ130*AK130</f>
        <v>617.7067776000001</v>
      </c>
      <c r="AN130" s="118">
        <f aca="true" t="shared" si="15" ref="AN130:AN135">AH130*AI130*AJ130*AL130</f>
        <v>231.5630592</v>
      </c>
      <c r="AO130" s="82" t="s">
        <v>2456</v>
      </c>
    </row>
    <row r="131" spans="1:41" ht="26.25" customHeight="1" hidden="1">
      <c r="A131" s="35">
        <v>82</v>
      </c>
      <c r="B131" s="35" t="s">
        <v>6</v>
      </c>
      <c r="C131" s="35" t="s">
        <v>6</v>
      </c>
      <c r="D131" s="82">
        <v>4</v>
      </c>
      <c r="E131" s="69" t="s">
        <v>2142</v>
      </c>
      <c r="F131" s="82" t="s">
        <v>2143</v>
      </c>
      <c r="G131" s="142" t="s">
        <v>2490</v>
      </c>
      <c r="H131" s="35" t="s">
        <v>4166</v>
      </c>
      <c r="I131" s="35" t="s">
        <v>4127</v>
      </c>
      <c r="J131" s="139">
        <v>29104391</v>
      </c>
      <c r="K131" s="35" t="s">
        <v>2438</v>
      </c>
      <c r="L131" s="35">
        <v>3447000</v>
      </c>
      <c r="M131" s="35" t="s">
        <v>3735</v>
      </c>
      <c r="N131" s="1" t="s">
        <v>4181</v>
      </c>
      <c r="O131" s="35">
        <v>3428</v>
      </c>
      <c r="P131" s="140">
        <v>43073</v>
      </c>
      <c r="Q131" s="140">
        <v>46724</v>
      </c>
      <c r="R131" s="62" t="s">
        <v>2440</v>
      </c>
      <c r="S131" s="141" t="s">
        <v>2441</v>
      </c>
      <c r="T131" s="142" t="s">
        <v>2443</v>
      </c>
      <c r="U131" s="82" t="s">
        <v>3254</v>
      </c>
      <c r="V131" s="82" t="s">
        <v>2144</v>
      </c>
      <c r="W131" s="82">
        <v>2561</v>
      </c>
      <c r="X131" s="143">
        <v>100798.2</v>
      </c>
      <c r="Y131" s="143">
        <v>89196.76</v>
      </c>
      <c r="Z131" s="69" t="s">
        <v>3741</v>
      </c>
      <c r="AA131" s="104"/>
      <c r="AB131" s="82"/>
      <c r="AC131" s="82"/>
      <c r="AD131" s="82"/>
      <c r="AE131" s="82"/>
      <c r="AF131" s="69"/>
      <c r="AG131" s="95"/>
      <c r="AH131" s="95"/>
      <c r="AI131" s="69"/>
      <c r="AJ131" s="35"/>
      <c r="AK131" s="35"/>
      <c r="AL131" s="35"/>
      <c r="AM131" s="145">
        <f t="shared" si="14"/>
        <v>0</v>
      </c>
      <c r="AN131" s="146">
        <f t="shared" si="15"/>
        <v>0</v>
      </c>
      <c r="AO131" s="82" t="s">
        <v>2456</v>
      </c>
    </row>
    <row r="132" spans="1:41" ht="60.75" customHeight="1" hidden="1">
      <c r="A132" s="35">
        <v>83</v>
      </c>
      <c r="B132" s="35" t="s">
        <v>6</v>
      </c>
      <c r="C132" s="35" t="s">
        <v>6</v>
      </c>
      <c r="D132" s="82">
        <v>4</v>
      </c>
      <c r="E132" s="69" t="s">
        <v>2559</v>
      </c>
      <c r="F132" s="82" t="s">
        <v>2560</v>
      </c>
      <c r="G132" s="142" t="s">
        <v>2490</v>
      </c>
      <c r="H132" s="35" t="s">
        <v>4166</v>
      </c>
      <c r="I132" s="35" t="s">
        <v>4127</v>
      </c>
      <c r="J132" s="139">
        <v>29104391</v>
      </c>
      <c r="K132" s="35" t="s">
        <v>2438</v>
      </c>
      <c r="L132" s="35">
        <v>3447000</v>
      </c>
      <c r="M132" s="35" t="s">
        <v>3735</v>
      </c>
      <c r="N132" s="1" t="s">
        <v>4181</v>
      </c>
      <c r="O132" s="35">
        <v>3428</v>
      </c>
      <c r="P132" s="140">
        <v>43073</v>
      </c>
      <c r="Q132" s="140">
        <v>46724</v>
      </c>
      <c r="R132" s="62" t="s">
        <v>2440</v>
      </c>
      <c r="S132" s="35" t="s">
        <v>2442</v>
      </c>
      <c r="T132" s="142" t="s">
        <v>2443</v>
      </c>
      <c r="U132" s="82" t="s">
        <v>2561</v>
      </c>
      <c r="V132" s="82" t="s">
        <v>2562</v>
      </c>
      <c r="W132" s="82">
        <v>2562</v>
      </c>
      <c r="X132" s="143" t="s">
        <v>2563</v>
      </c>
      <c r="Y132" s="143" t="s">
        <v>2564</v>
      </c>
      <c r="Z132" s="69" t="s">
        <v>4058</v>
      </c>
      <c r="AA132" s="104">
        <v>43685</v>
      </c>
      <c r="AB132" s="82" t="s">
        <v>3905</v>
      </c>
      <c r="AC132" s="82">
        <v>314</v>
      </c>
      <c r="AD132" s="82">
        <v>207</v>
      </c>
      <c r="AE132" s="82">
        <v>25.29</v>
      </c>
      <c r="AF132" s="69">
        <v>24</v>
      </c>
      <c r="AG132" s="95">
        <f aca="true" t="shared" si="16" ref="AG132:AG138">AE132*AC132*AF132*0.0036</f>
        <v>686.107584</v>
      </c>
      <c r="AH132" s="95">
        <f aca="true" t="shared" si="17" ref="AH132:AH138">AE132*AD132*AF132*0.0036</f>
        <v>452.30659199999997</v>
      </c>
      <c r="AI132" s="69">
        <v>30</v>
      </c>
      <c r="AJ132" s="35">
        <v>12</v>
      </c>
      <c r="AK132" s="35">
        <v>0.56</v>
      </c>
      <c r="AL132" s="35">
        <v>0.49</v>
      </c>
      <c r="AM132" s="145">
        <f t="shared" si="14"/>
        <v>138319.2889344</v>
      </c>
      <c r="AN132" s="146">
        <f t="shared" si="15"/>
        <v>79786.88282880001</v>
      </c>
      <c r="AO132" s="82" t="s">
        <v>2456</v>
      </c>
    </row>
    <row r="133" spans="1:41" ht="51" customHeight="1">
      <c r="A133" s="35">
        <v>84</v>
      </c>
      <c r="B133" s="35" t="s">
        <v>6</v>
      </c>
      <c r="C133" s="35" t="s">
        <v>6</v>
      </c>
      <c r="D133" s="82">
        <v>4</v>
      </c>
      <c r="E133" s="69" t="s">
        <v>801</v>
      </c>
      <c r="F133" s="69" t="s">
        <v>2112</v>
      </c>
      <c r="G133" s="69" t="s">
        <v>2490</v>
      </c>
      <c r="H133" s="35" t="s">
        <v>4166</v>
      </c>
      <c r="I133" s="35" t="s">
        <v>4127</v>
      </c>
      <c r="J133" s="139">
        <v>29104391</v>
      </c>
      <c r="K133" s="35" t="s">
        <v>2438</v>
      </c>
      <c r="L133" s="35">
        <v>3447000</v>
      </c>
      <c r="M133" s="35" t="s">
        <v>3735</v>
      </c>
      <c r="N133" s="1" t="s">
        <v>4181</v>
      </c>
      <c r="O133" s="35">
        <v>3428</v>
      </c>
      <c r="P133" s="140">
        <v>43073</v>
      </c>
      <c r="Q133" s="140">
        <v>46724</v>
      </c>
      <c r="R133" s="62" t="s">
        <v>2440</v>
      </c>
      <c r="S133" s="35" t="s">
        <v>2442</v>
      </c>
      <c r="T133" s="142" t="s">
        <v>2444</v>
      </c>
      <c r="U133" s="82" t="s">
        <v>33</v>
      </c>
      <c r="V133" s="82" t="s">
        <v>3255</v>
      </c>
      <c r="W133" s="82">
        <v>2557</v>
      </c>
      <c r="X133" s="143">
        <v>100811.02</v>
      </c>
      <c r="Y133" s="143">
        <v>89058.01</v>
      </c>
      <c r="Z133" s="2" t="s">
        <v>4152</v>
      </c>
      <c r="AA133" s="104">
        <v>43685</v>
      </c>
      <c r="AB133" s="82" t="s">
        <v>3791</v>
      </c>
      <c r="AC133" s="82">
        <v>547</v>
      </c>
      <c r="AD133" s="82">
        <v>473</v>
      </c>
      <c r="AE133" s="82">
        <v>55.32</v>
      </c>
      <c r="AF133" s="69">
        <v>24</v>
      </c>
      <c r="AG133" s="95">
        <f>AE133*AC133*AF133*0.0036</f>
        <v>2614.467456</v>
      </c>
      <c r="AH133" s="95">
        <f>AE133*AD133*AF133*0.0036</f>
        <v>2260.773504</v>
      </c>
      <c r="AI133" s="69">
        <v>30</v>
      </c>
      <c r="AJ133" s="35">
        <v>12</v>
      </c>
      <c r="AK133" s="35">
        <v>1.4</v>
      </c>
      <c r="AL133" s="35">
        <v>1.43</v>
      </c>
      <c r="AM133" s="117">
        <f t="shared" si="14"/>
        <v>1317691.597824</v>
      </c>
      <c r="AN133" s="118">
        <f t="shared" si="15"/>
        <v>1163846.1998591998</v>
      </c>
      <c r="AO133" s="82" t="s">
        <v>2456</v>
      </c>
    </row>
    <row r="134" spans="1:41" ht="33" customHeight="1">
      <c r="A134" s="35">
        <v>85</v>
      </c>
      <c r="B134" s="35" t="s">
        <v>6</v>
      </c>
      <c r="C134" s="35" t="s">
        <v>6</v>
      </c>
      <c r="D134" s="82">
        <v>4</v>
      </c>
      <c r="E134" s="69" t="s">
        <v>802</v>
      </c>
      <c r="F134" s="82" t="s">
        <v>810</v>
      </c>
      <c r="G134" s="82" t="s">
        <v>2512</v>
      </c>
      <c r="H134" s="35" t="s">
        <v>4166</v>
      </c>
      <c r="I134" s="35" t="s">
        <v>4127</v>
      </c>
      <c r="J134" s="139">
        <v>29104391</v>
      </c>
      <c r="K134" s="35" t="s">
        <v>2438</v>
      </c>
      <c r="L134" s="165">
        <v>3447000</v>
      </c>
      <c r="M134" s="35" t="s">
        <v>3735</v>
      </c>
      <c r="N134" s="1" t="s">
        <v>4181</v>
      </c>
      <c r="O134" s="35">
        <v>3428</v>
      </c>
      <c r="P134" s="140">
        <v>43073</v>
      </c>
      <c r="Q134" s="140">
        <v>46724</v>
      </c>
      <c r="R134" s="62" t="s">
        <v>2440</v>
      </c>
      <c r="S134" s="35" t="s">
        <v>2442</v>
      </c>
      <c r="T134" s="142" t="s">
        <v>2444</v>
      </c>
      <c r="U134" s="82" t="s">
        <v>34</v>
      </c>
      <c r="V134" s="82" t="s">
        <v>3256</v>
      </c>
      <c r="W134" s="82">
        <v>2557</v>
      </c>
      <c r="X134" s="143">
        <v>100822.79</v>
      </c>
      <c r="Y134" s="143">
        <v>89048.14</v>
      </c>
      <c r="Z134" s="2" t="s">
        <v>4153</v>
      </c>
      <c r="AA134" s="104">
        <v>43685</v>
      </c>
      <c r="AB134" s="82" t="s">
        <v>3906</v>
      </c>
      <c r="AC134" s="82">
        <v>528</v>
      </c>
      <c r="AD134" s="82">
        <v>360</v>
      </c>
      <c r="AE134" s="82">
        <v>120.63</v>
      </c>
      <c r="AF134" s="69">
        <v>24</v>
      </c>
      <c r="AG134" s="95">
        <f>AE134*AC134*AF134*0.0036</f>
        <v>5503.044096</v>
      </c>
      <c r="AH134" s="95">
        <f>AE134*AD134*AF134*0.0036</f>
        <v>3752.07552</v>
      </c>
      <c r="AI134" s="69">
        <v>30</v>
      </c>
      <c r="AJ134" s="35">
        <v>12</v>
      </c>
      <c r="AK134" s="35">
        <v>1.08</v>
      </c>
      <c r="AL134" s="35">
        <v>1.15</v>
      </c>
      <c r="AM134" s="117">
        <f t="shared" si="14"/>
        <v>2139583.5445248</v>
      </c>
      <c r="AN134" s="118">
        <f t="shared" si="15"/>
        <v>1553359.26528</v>
      </c>
      <c r="AO134" s="82" t="s">
        <v>2456</v>
      </c>
    </row>
    <row r="135" spans="1:41" ht="25.5">
      <c r="A135" s="35">
        <v>86</v>
      </c>
      <c r="B135" s="35" t="s">
        <v>6</v>
      </c>
      <c r="C135" s="35" t="s">
        <v>6</v>
      </c>
      <c r="D135" s="82">
        <v>4</v>
      </c>
      <c r="E135" s="69" t="s">
        <v>803</v>
      </c>
      <c r="F135" s="142" t="s">
        <v>809</v>
      </c>
      <c r="G135" s="82" t="s">
        <v>2512</v>
      </c>
      <c r="H135" s="35" t="s">
        <v>4166</v>
      </c>
      <c r="I135" s="35" t="s">
        <v>4127</v>
      </c>
      <c r="J135" s="139">
        <v>29104391</v>
      </c>
      <c r="K135" s="35" t="s">
        <v>2438</v>
      </c>
      <c r="L135" s="35">
        <v>3447000</v>
      </c>
      <c r="M135" s="35" t="s">
        <v>3735</v>
      </c>
      <c r="N135" s="1" t="s">
        <v>4181</v>
      </c>
      <c r="O135" s="35">
        <v>3428</v>
      </c>
      <c r="P135" s="140">
        <v>43073</v>
      </c>
      <c r="Q135" s="140">
        <v>46724</v>
      </c>
      <c r="R135" s="62" t="s">
        <v>2440</v>
      </c>
      <c r="S135" s="35" t="s">
        <v>2442</v>
      </c>
      <c r="T135" s="142" t="s">
        <v>2444</v>
      </c>
      <c r="U135" s="142" t="s">
        <v>3257</v>
      </c>
      <c r="V135" s="142" t="s">
        <v>808</v>
      </c>
      <c r="W135" s="142">
        <v>2556</v>
      </c>
      <c r="X135" s="143">
        <v>100930.65</v>
      </c>
      <c r="Y135" s="143">
        <v>89041.98</v>
      </c>
      <c r="Z135" s="69" t="s">
        <v>3753</v>
      </c>
      <c r="AA135" s="104">
        <v>43738</v>
      </c>
      <c r="AB135" s="82" t="s">
        <v>2530</v>
      </c>
      <c r="AC135" s="82">
        <v>399</v>
      </c>
      <c r="AD135" s="82">
        <v>260</v>
      </c>
      <c r="AE135" s="82">
        <v>2.474</v>
      </c>
      <c r="AF135" s="69">
        <v>24</v>
      </c>
      <c r="AG135" s="95">
        <f t="shared" si="16"/>
        <v>85.2876864</v>
      </c>
      <c r="AH135" s="95">
        <f t="shared" si="17"/>
        <v>55.575936</v>
      </c>
      <c r="AI135" s="69">
        <v>30</v>
      </c>
      <c r="AJ135" s="35">
        <v>12</v>
      </c>
      <c r="AK135" s="35">
        <v>0.64</v>
      </c>
      <c r="AL135" s="35">
        <v>0.57</v>
      </c>
      <c r="AM135" s="117">
        <f t="shared" si="14"/>
        <v>19650.28294656</v>
      </c>
      <c r="AN135" s="118">
        <f t="shared" si="15"/>
        <v>11404.1820672</v>
      </c>
      <c r="AO135" s="82" t="s">
        <v>2456</v>
      </c>
    </row>
    <row r="136" spans="1:41" ht="51">
      <c r="A136" s="35">
        <v>87</v>
      </c>
      <c r="B136" s="35" t="s">
        <v>6</v>
      </c>
      <c r="C136" s="35" t="s">
        <v>6</v>
      </c>
      <c r="D136" s="82">
        <v>4</v>
      </c>
      <c r="E136" s="69" t="s">
        <v>804</v>
      </c>
      <c r="F136" s="69" t="s">
        <v>2113</v>
      </c>
      <c r="G136" s="82" t="s">
        <v>2512</v>
      </c>
      <c r="H136" s="35" t="s">
        <v>4166</v>
      </c>
      <c r="I136" s="35" t="s">
        <v>4127</v>
      </c>
      <c r="J136" s="139">
        <v>29104391</v>
      </c>
      <c r="K136" s="35" t="s">
        <v>2438</v>
      </c>
      <c r="L136" s="35">
        <v>3447000</v>
      </c>
      <c r="M136" s="35" t="s">
        <v>3735</v>
      </c>
      <c r="N136" s="1" t="s">
        <v>4181</v>
      </c>
      <c r="O136" s="35">
        <v>3428</v>
      </c>
      <c r="P136" s="140">
        <v>43073</v>
      </c>
      <c r="Q136" s="140">
        <v>46724</v>
      </c>
      <c r="R136" s="62" t="s">
        <v>2440</v>
      </c>
      <c r="S136" s="35" t="s">
        <v>2442</v>
      </c>
      <c r="T136" s="142" t="s">
        <v>2443</v>
      </c>
      <c r="U136" s="82" t="s">
        <v>35</v>
      </c>
      <c r="V136" s="82" t="s">
        <v>3258</v>
      </c>
      <c r="W136" s="142">
        <v>2556</v>
      </c>
      <c r="X136" s="143">
        <v>100964.76</v>
      </c>
      <c r="Y136" s="143">
        <v>89018.51</v>
      </c>
      <c r="Z136" s="69" t="s">
        <v>4150</v>
      </c>
      <c r="AA136" s="104"/>
      <c r="AB136" s="82"/>
      <c r="AC136" s="82"/>
      <c r="AD136" s="82"/>
      <c r="AE136" s="82"/>
      <c r="AF136" s="69"/>
      <c r="AG136" s="95"/>
      <c r="AH136" s="95"/>
      <c r="AI136" s="69"/>
      <c r="AJ136" s="35"/>
      <c r="AK136" s="35"/>
      <c r="AL136" s="35"/>
      <c r="AM136" s="117">
        <v>5906.884571444752</v>
      </c>
      <c r="AN136" s="118">
        <v>2783.2553552653203</v>
      </c>
      <c r="AO136" s="82" t="s">
        <v>2456</v>
      </c>
    </row>
    <row r="137" spans="1:41" ht="43.5" customHeight="1">
      <c r="A137" s="35">
        <v>88</v>
      </c>
      <c r="B137" s="35" t="s">
        <v>6</v>
      </c>
      <c r="C137" s="35" t="s">
        <v>6</v>
      </c>
      <c r="D137" s="82">
        <v>4</v>
      </c>
      <c r="E137" s="69" t="s">
        <v>814</v>
      </c>
      <c r="F137" s="69" t="s">
        <v>818</v>
      </c>
      <c r="G137" s="142" t="s">
        <v>2490</v>
      </c>
      <c r="H137" s="35" t="s">
        <v>4166</v>
      </c>
      <c r="I137" s="35" t="s">
        <v>4127</v>
      </c>
      <c r="J137" s="139">
        <v>29104391</v>
      </c>
      <c r="K137" s="35" t="s">
        <v>2438</v>
      </c>
      <c r="L137" s="35">
        <v>3447000</v>
      </c>
      <c r="M137" s="35" t="s">
        <v>3735</v>
      </c>
      <c r="N137" s="1" t="s">
        <v>4181</v>
      </c>
      <c r="O137" s="35">
        <v>3428</v>
      </c>
      <c r="P137" s="140">
        <v>43073</v>
      </c>
      <c r="Q137" s="140">
        <v>46724</v>
      </c>
      <c r="R137" s="62" t="s">
        <v>2440</v>
      </c>
      <c r="S137" s="141" t="s">
        <v>2441</v>
      </c>
      <c r="T137" s="142" t="s">
        <v>2444</v>
      </c>
      <c r="U137" s="142" t="s">
        <v>3259</v>
      </c>
      <c r="V137" s="142" t="s">
        <v>817</v>
      </c>
      <c r="W137" s="142">
        <v>2556</v>
      </c>
      <c r="X137" s="143">
        <v>100985.96</v>
      </c>
      <c r="Y137" s="143">
        <v>89028.1</v>
      </c>
      <c r="Z137" s="69" t="s">
        <v>4151</v>
      </c>
      <c r="AA137" s="104">
        <v>43742</v>
      </c>
      <c r="AB137" s="135">
        <v>0.4305555555555556</v>
      </c>
      <c r="AC137" s="82"/>
      <c r="AD137" s="82"/>
      <c r="AE137" s="82"/>
      <c r="AF137" s="69"/>
      <c r="AG137" s="95"/>
      <c r="AH137" s="95"/>
      <c r="AI137" s="69"/>
      <c r="AJ137" s="35"/>
      <c r="AK137" s="35"/>
      <c r="AL137" s="35"/>
      <c r="AM137" s="117">
        <v>13461.116967617258</v>
      </c>
      <c r="AN137" s="118">
        <v>8497.362940696392</v>
      </c>
      <c r="AO137" s="82" t="s">
        <v>2456</v>
      </c>
    </row>
    <row r="138" spans="1:41" ht="25.5">
      <c r="A138" s="35">
        <v>89</v>
      </c>
      <c r="B138" s="35" t="s">
        <v>6</v>
      </c>
      <c r="C138" s="35" t="s">
        <v>6</v>
      </c>
      <c r="D138" s="82">
        <v>4</v>
      </c>
      <c r="E138" s="69" t="s">
        <v>815</v>
      </c>
      <c r="F138" s="69" t="s">
        <v>816</v>
      </c>
      <c r="G138" s="142" t="s">
        <v>2490</v>
      </c>
      <c r="H138" s="35" t="s">
        <v>4166</v>
      </c>
      <c r="I138" s="35" t="s">
        <v>4127</v>
      </c>
      <c r="J138" s="139">
        <v>29104391</v>
      </c>
      <c r="K138" s="35" t="s">
        <v>2438</v>
      </c>
      <c r="L138" s="35">
        <v>3447000</v>
      </c>
      <c r="M138" s="35" t="s">
        <v>3735</v>
      </c>
      <c r="N138" s="1" t="s">
        <v>4181</v>
      </c>
      <c r="O138" s="35">
        <v>3428</v>
      </c>
      <c r="P138" s="140">
        <v>43073</v>
      </c>
      <c r="Q138" s="140">
        <v>46724</v>
      </c>
      <c r="R138" s="62" t="s">
        <v>2440</v>
      </c>
      <c r="S138" s="35" t="s">
        <v>2442</v>
      </c>
      <c r="T138" s="142" t="s">
        <v>2444</v>
      </c>
      <c r="U138" s="82" t="s">
        <v>36</v>
      </c>
      <c r="V138" s="82" t="s">
        <v>3260</v>
      </c>
      <c r="W138" s="142">
        <v>2556</v>
      </c>
      <c r="X138" s="143">
        <v>100994.32</v>
      </c>
      <c r="Y138" s="143">
        <v>88993.69</v>
      </c>
      <c r="Z138" s="69" t="s">
        <v>3753</v>
      </c>
      <c r="AA138" s="104">
        <v>43738</v>
      </c>
      <c r="AB138" s="82" t="s">
        <v>2553</v>
      </c>
      <c r="AC138" s="82">
        <v>314</v>
      </c>
      <c r="AD138" s="82">
        <v>192</v>
      </c>
      <c r="AE138" s="82">
        <v>4.961</v>
      </c>
      <c r="AF138" s="69">
        <v>24</v>
      </c>
      <c r="AG138" s="95">
        <f t="shared" si="16"/>
        <v>134.58994560000002</v>
      </c>
      <c r="AH138" s="95">
        <f t="shared" si="17"/>
        <v>82.2970368</v>
      </c>
      <c r="AI138" s="69">
        <v>30</v>
      </c>
      <c r="AJ138" s="35">
        <v>12</v>
      </c>
      <c r="AK138" s="35">
        <v>0.64</v>
      </c>
      <c r="AL138" s="35">
        <v>0.57</v>
      </c>
      <c r="AM138" s="117">
        <f aca="true" t="shared" si="18" ref="AM138:AM153">AG138*AI138*AJ138*AK138</f>
        <v>31009.523466240003</v>
      </c>
      <c r="AN138" s="118">
        <f aca="true" t="shared" si="19" ref="AN138:AN153">AH138*AI138*AJ138*AL138</f>
        <v>16887.351951359997</v>
      </c>
      <c r="AO138" s="82" t="s">
        <v>2456</v>
      </c>
    </row>
    <row r="139" spans="1:41" ht="25.5">
      <c r="A139" s="35">
        <v>90</v>
      </c>
      <c r="B139" s="35" t="s">
        <v>6</v>
      </c>
      <c r="C139" s="35" t="s">
        <v>6</v>
      </c>
      <c r="D139" s="82">
        <v>4</v>
      </c>
      <c r="E139" s="69" t="s">
        <v>2145</v>
      </c>
      <c r="F139" s="69" t="s">
        <v>2146</v>
      </c>
      <c r="G139" s="142" t="s">
        <v>2490</v>
      </c>
      <c r="H139" s="35" t="s">
        <v>4166</v>
      </c>
      <c r="I139" s="35" t="s">
        <v>4127</v>
      </c>
      <c r="J139" s="139">
        <v>29104391</v>
      </c>
      <c r="K139" s="35" t="s">
        <v>2438</v>
      </c>
      <c r="L139" s="35">
        <v>3447000</v>
      </c>
      <c r="M139" s="35" t="s">
        <v>3735</v>
      </c>
      <c r="N139" s="1" t="s">
        <v>4181</v>
      </c>
      <c r="O139" s="35">
        <v>3428</v>
      </c>
      <c r="P139" s="140">
        <v>43073</v>
      </c>
      <c r="Q139" s="140">
        <v>46724</v>
      </c>
      <c r="R139" s="62" t="s">
        <v>2440</v>
      </c>
      <c r="S139" s="35" t="s">
        <v>2442</v>
      </c>
      <c r="T139" s="142" t="s">
        <v>2444</v>
      </c>
      <c r="U139" s="82" t="s">
        <v>3261</v>
      </c>
      <c r="V139" s="82" t="s">
        <v>2320</v>
      </c>
      <c r="W139" s="142">
        <v>2556</v>
      </c>
      <c r="X139" s="143">
        <v>101064.33</v>
      </c>
      <c r="Y139" s="143">
        <v>88943.31</v>
      </c>
      <c r="Z139" s="69" t="s">
        <v>3753</v>
      </c>
      <c r="AA139" s="104">
        <v>43738</v>
      </c>
      <c r="AB139" s="147" t="s">
        <v>2565</v>
      </c>
      <c r="AC139" s="82">
        <v>393</v>
      </c>
      <c r="AD139" s="82">
        <v>230</v>
      </c>
      <c r="AE139" s="82">
        <v>0.287</v>
      </c>
      <c r="AF139" s="69">
        <v>24</v>
      </c>
      <c r="AG139" s="95">
        <f>AE139*AC139*AF139*0.0036</f>
        <v>9.745142399999999</v>
      </c>
      <c r="AH139" s="95">
        <f>AE139*AD139*AF139*0.0036</f>
        <v>5.703263999999999</v>
      </c>
      <c r="AI139" s="69">
        <v>30</v>
      </c>
      <c r="AJ139" s="35">
        <v>12</v>
      </c>
      <c r="AK139" s="82">
        <v>0.56</v>
      </c>
      <c r="AL139" s="82">
        <v>0.47</v>
      </c>
      <c r="AM139" s="117">
        <f t="shared" si="18"/>
        <v>1964.62070784</v>
      </c>
      <c r="AN139" s="118">
        <f t="shared" si="19"/>
        <v>964.9922687999998</v>
      </c>
      <c r="AO139" s="82" t="s">
        <v>2456</v>
      </c>
    </row>
    <row r="140" spans="1:41" ht="12.75" customHeight="1">
      <c r="A140" s="35">
        <v>91</v>
      </c>
      <c r="B140" s="35" t="s">
        <v>6</v>
      </c>
      <c r="C140" s="35" t="s">
        <v>6</v>
      </c>
      <c r="D140" s="82">
        <v>4</v>
      </c>
      <c r="E140" s="69" t="s">
        <v>819</v>
      </c>
      <c r="F140" s="69" t="s">
        <v>2114</v>
      </c>
      <c r="G140" s="142" t="s">
        <v>2490</v>
      </c>
      <c r="H140" s="35" t="s">
        <v>4166</v>
      </c>
      <c r="I140" s="35" t="s">
        <v>4127</v>
      </c>
      <c r="J140" s="139">
        <v>29104391</v>
      </c>
      <c r="K140" s="35" t="s">
        <v>2438</v>
      </c>
      <c r="L140" s="35">
        <v>3447000</v>
      </c>
      <c r="M140" s="35" t="s">
        <v>3735</v>
      </c>
      <c r="N140" s="1" t="s">
        <v>4181</v>
      </c>
      <c r="O140" s="35">
        <v>3428</v>
      </c>
      <c r="P140" s="140">
        <v>43073</v>
      </c>
      <c r="Q140" s="140">
        <v>46724</v>
      </c>
      <c r="R140" s="62" t="s">
        <v>2440</v>
      </c>
      <c r="S140" s="35" t="s">
        <v>2442</v>
      </c>
      <c r="T140" s="142" t="s">
        <v>2443</v>
      </c>
      <c r="U140" s="69" t="s">
        <v>38</v>
      </c>
      <c r="V140" s="69" t="s">
        <v>3262</v>
      </c>
      <c r="W140" s="69">
        <v>2555</v>
      </c>
      <c r="X140" s="143">
        <v>101067.21</v>
      </c>
      <c r="Y140" s="143">
        <v>88940.75</v>
      </c>
      <c r="Z140" s="69" t="s">
        <v>3753</v>
      </c>
      <c r="AA140" s="104">
        <v>43738</v>
      </c>
      <c r="AB140" s="82" t="s">
        <v>3907</v>
      </c>
      <c r="AC140" s="82">
        <v>308</v>
      </c>
      <c r="AD140" s="82">
        <v>144</v>
      </c>
      <c r="AE140" s="82">
        <v>1.685</v>
      </c>
      <c r="AF140" s="69">
        <v>24</v>
      </c>
      <c r="AG140" s="95">
        <f>AE140*AC140*AF140*0.0036</f>
        <v>44.839872</v>
      </c>
      <c r="AH140" s="95">
        <f>AE140*AD140*AF140*0.0036</f>
        <v>20.964096</v>
      </c>
      <c r="AI140" s="69">
        <v>30</v>
      </c>
      <c r="AJ140" s="35">
        <v>12</v>
      </c>
      <c r="AK140" s="35">
        <v>0.56</v>
      </c>
      <c r="AL140" s="35">
        <v>0.47</v>
      </c>
      <c r="AM140" s="117">
        <f t="shared" si="18"/>
        <v>9039.718195200001</v>
      </c>
      <c r="AN140" s="118">
        <f t="shared" si="19"/>
        <v>3547.1250432</v>
      </c>
      <c r="AO140" s="82" t="s">
        <v>2456</v>
      </c>
    </row>
    <row r="141" spans="1:201" s="37" customFormat="1" ht="25.5">
      <c r="A141" s="35">
        <v>92</v>
      </c>
      <c r="B141" s="35" t="s">
        <v>6</v>
      </c>
      <c r="C141" s="35" t="s">
        <v>6</v>
      </c>
      <c r="D141" s="82">
        <v>4</v>
      </c>
      <c r="E141" s="82" t="s">
        <v>820</v>
      </c>
      <c r="F141" s="69" t="s">
        <v>2115</v>
      </c>
      <c r="G141" s="142" t="s">
        <v>2490</v>
      </c>
      <c r="H141" s="35" t="s">
        <v>4166</v>
      </c>
      <c r="I141" s="35" t="s">
        <v>4127</v>
      </c>
      <c r="J141" s="139">
        <v>29104391</v>
      </c>
      <c r="K141" s="35" t="s">
        <v>2438</v>
      </c>
      <c r="L141" s="35">
        <v>3447000</v>
      </c>
      <c r="M141" s="35" t="s">
        <v>3735</v>
      </c>
      <c r="N141" s="1" t="s">
        <v>4181</v>
      </c>
      <c r="O141" s="35">
        <v>3428</v>
      </c>
      <c r="P141" s="140">
        <v>43073</v>
      </c>
      <c r="Q141" s="140">
        <v>46724</v>
      </c>
      <c r="R141" s="62" t="s">
        <v>2440</v>
      </c>
      <c r="S141" s="35" t="s">
        <v>2442</v>
      </c>
      <c r="T141" s="142" t="s">
        <v>2444</v>
      </c>
      <c r="U141" s="69" t="s">
        <v>39</v>
      </c>
      <c r="V141" s="69" t="s">
        <v>3263</v>
      </c>
      <c r="W141" s="69">
        <v>2555</v>
      </c>
      <c r="X141" s="143">
        <v>101070.17</v>
      </c>
      <c r="Y141" s="143">
        <v>88938.44</v>
      </c>
      <c r="Z141" s="69" t="s">
        <v>3753</v>
      </c>
      <c r="AA141" s="104">
        <v>43738</v>
      </c>
      <c r="AB141" s="82" t="s">
        <v>3908</v>
      </c>
      <c r="AC141" s="82">
        <v>636</v>
      </c>
      <c r="AD141" s="82">
        <v>352</v>
      </c>
      <c r="AE141" s="82">
        <v>0.867</v>
      </c>
      <c r="AF141" s="69">
        <v>24</v>
      </c>
      <c r="AG141" s="95">
        <f>AE141*AC141*AF141*0.0036</f>
        <v>47.6419968</v>
      </c>
      <c r="AH141" s="95">
        <f>AE141*AD141*AF141*0.0036</f>
        <v>26.367897599999996</v>
      </c>
      <c r="AI141" s="69">
        <v>30</v>
      </c>
      <c r="AJ141" s="35">
        <v>12</v>
      </c>
      <c r="AK141" s="35">
        <v>0.56</v>
      </c>
      <c r="AL141" s="35">
        <v>0.47</v>
      </c>
      <c r="AM141" s="117">
        <f t="shared" si="18"/>
        <v>9604.62655488</v>
      </c>
      <c r="AN141" s="118">
        <f t="shared" si="19"/>
        <v>4461.448273919998</v>
      </c>
      <c r="AO141" s="82" t="s">
        <v>2456</v>
      </c>
      <c r="AP141" s="36"/>
      <c r="AQ141" s="36"/>
      <c r="AR141" s="36"/>
      <c r="AS141" s="36"/>
      <c r="AT141" s="36"/>
      <c r="AU141" s="36"/>
      <c r="AV141" s="36"/>
      <c r="AW141" s="36"/>
      <c r="AX141" s="36"/>
      <c r="AY141" s="36"/>
      <c r="AZ141" s="36"/>
      <c r="BA141" s="36"/>
      <c r="BB141" s="36"/>
      <c r="BC141" s="36"/>
      <c r="BD141" s="36"/>
      <c r="BE141" s="28"/>
      <c r="BF141" s="28"/>
      <c r="BG141" s="28"/>
      <c r="BJ141" s="38"/>
      <c r="BK141" s="38"/>
      <c r="BL141" s="38"/>
      <c r="BM141" s="39"/>
      <c r="BN141" s="39"/>
      <c r="BO141" s="39"/>
      <c r="BP141" s="39"/>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28"/>
      <c r="CQ141" s="28"/>
      <c r="CR141" s="28"/>
      <c r="CU141" s="38"/>
      <c r="CV141" s="38"/>
      <c r="CW141" s="38"/>
      <c r="CX141" s="39"/>
      <c r="CY141" s="39"/>
      <c r="CZ141" s="39"/>
      <c r="DA141" s="39"/>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28"/>
      <c r="EB141" s="28"/>
      <c r="EC141" s="28"/>
      <c r="EF141" s="38"/>
      <c r="EG141" s="38"/>
      <c r="EH141" s="38"/>
      <c r="EI141" s="39"/>
      <c r="EJ141" s="39"/>
      <c r="EK141" s="39"/>
      <c r="EL141" s="39"/>
      <c r="EM141" s="36"/>
      <c r="EN141" s="36"/>
      <c r="EO141" s="36"/>
      <c r="EP141" s="36"/>
      <c r="EQ141" s="36"/>
      <c r="ER141" s="36"/>
      <c r="ES141" s="36"/>
      <c r="ET141" s="36"/>
      <c r="EU141" s="36"/>
      <c r="EV141" s="36"/>
      <c r="EW141" s="36"/>
      <c r="EX141" s="36"/>
      <c r="EY141" s="36"/>
      <c r="EZ141" s="36"/>
      <c r="FA141" s="36"/>
      <c r="FB141" s="36"/>
      <c r="FC141" s="36"/>
      <c r="FD141" s="36"/>
      <c r="FE141" s="36"/>
      <c r="FF141" s="36"/>
      <c r="FG141" s="36"/>
      <c r="FH141" s="36"/>
      <c r="FI141" s="36"/>
      <c r="FJ141" s="36"/>
      <c r="FK141" s="36"/>
      <c r="FL141" s="28"/>
      <c r="FM141" s="28"/>
      <c r="FN141" s="28"/>
      <c r="FQ141" s="38"/>
      <c r="FR141" s="38"/>
      <c r="FS141" s="38"/>
      <c r="FT141" s="39"/>
      <c r="FU141" s="39"/>
      <c r="FV141" s="39"/>
      <c r="FW141" s="39"/>
      <c r="FX141" s="36"/>
      <c r="FY141" s="36"/>
      <c r="FZ141" s="36"/>
      <c r="GA141" s="36"/>
      <c r="GB141" s="36"/>
      <c r="GC141" s="36"/>
      <c r="GD141" s="36"/>
      <c r="GE141" s="36"/>
      <c r="GF141" s="36"/>
      <c r="GG141" s="36"/>
      <c r="GH141" s="36"/>
      <c r="GI141" s="36"/>
      <c r="GJ141" s="36"/>
      <c r="GK141" s="36"/>
      <c r="GL141" s="36"/>
      <c r="GM141" s="36"/>
      <c r="GN141" s="36"/>
      <c r="GO141" s="36"/>
      <c r="GP141" s="36"/>
      <c r="GQ141" s="36"/>
      <c r="GR141" s="36"/>
      <c r="GS141" s="36"/>
    </row>
    <row r="142" spans="1:41" ht="12.75" hidden="1">
      <c r="A142" s="35">
        <v>93</v>
      </c>
      <c r="B142" s="35" t="s">
        <v>6</v>
      </c>
      <c r="C142" s="35" t="s">
        <v>6</v>
      </c>
      <c r="D142" s="82">
        <v>4</v>
      </c>
      <c r="E142" s="82" t="s">
        <v>2147</v>
      </c>
      <c r="F142" s="69" t="s">
        <v>2148</v>
      </c>
      <c r="G142" s="142" t="s">
        <v>2490</v>
      </c>
      <c r="H142" s="35" t="s">
        <v>4166</v>
      </c>
      <c r="I142" s="35" t="s">
        <v>4127</v>
      </c>
      <c r="J142" s="139">
        <v>29104391</v>
      </c>
      <c r="K142" s="35" t="s">
        <v>2438</v>
      </c>
      <c r="L142" s="35">
        <v>3447000</v>
      </c>
      <c r="M142" s="35" t="s">
        <v>3735</v>
      </c>
      <c r="N142" s="1" t="s">
        <v>4181</v>
      </c>
      <c r="O142" s="35">
        <v>3428</v>
      </c>
      <c r="P142" s="140">
        <v>43073</v>
      </c>
      <c r="Q142" s="140">
        <v>46724</v>
      </c>
      <c r="R142" s="62" t="s">
        <v>2440</v>
      </c>
      <c r="S142" s="141" t="s">
        <v>2442</v>
      </c>
      <c r="T142" s="144" t="s">
        <v>2436</v>
      </c>
      <c r="U142" s="69" t="s">
        <v>3264</v>
      </c>
      <c r="V142" s="69" t="s">
        <v>2149</v>
      </c>
      <c r="W142" s="69">
        <v>2555</v>
      </c>
      <c r="X142" s="82">
        <v>101070.17</v>
      </c>
      <c r="Y142" s="82">
        <v>88938.381</v>
      </c>
      <c r="Z142" s="69" t="s">
        <v>3741</v>
      </c>
      <c r="AA142" s="82"/>
      <c r="AB142" s="82"/>
      <c r="AC142" s="82"/>
      <c r="AD142" s="82"/>
      <c r="AE142" s="82"/>
      <c r="AF142" s="69"/>
      <c r="AG142" s="95"/>
      <c r="AH142" s="95"/>
      <c r="AI142" s="69"/>
      <c r="AJ142" s="35"/>
      <c r="AK142" s="35"/>
      <c r="AL142" s="35"/>
      <c r="AM142" s="145">
        <f t="shared" si="18"/>
        <v>0</v>
      </c>
      <c r="AN142" s="146">
        <f t="shared" si="19"/>
        <v>0</v>
      </c>
      <c r="AO142" s="82"/>
    </row>
    <row r="143" spans="1:41" ht="12.75" hidden="1">
      <c r="A143" s="35">
        <v>94</v>
      </c>
      <c r="B143" s="35" t="s">
        <v>6</v>
      </c>
      <c r="C143" s="35" t="s">
        <v>6</v>
      </c>
      <c r="D143" s="82">
        <v>4</v>
      </c>
      <c r="E143" s="82" t="s">
        <v>2150</v>
      </c>
      <c r="F143" s="69" t="s">
        <v>2146</v>
      </c>
      <c r="G143" s="142" t="s">
        <v>2490</v>
      </c>
      <c r="H143" s="35" t="s">
        <v>4166</v>
      </c>
      <c r="I143" s="35" t="s">
        <v>4127</v>
      </c>
      <c r="J143" s="139">
        <v>29104391</v>
      </c>
      <c r="K143" s="35" t="s">
        <v>2438</v>
      </c>
      <c r="L143" s="35">
        <v>3447000</v>
      </c>
      <c r="M143" s="35" t="s">
        <v>3735</v>
      </c>
      <c r="N143" s="1" t="s">
        <v>4181</v>
      </c>
      <c r="O143" s="35">
        <v>3428</v>
      </c>
      <c r="P143" s="140">
        <v>43073</v>
      </c>
      <c r="Q143" s="140">
        <v>46724</v>
      </c>
      <c r="R143" s="62" t="s">
        <v>2440</v>
      </c>
      <c r="S143" s="141" t="s">
        <v>2442</v>
      </c>
      <c r="T143" s="144" t="s">
        <v>2436</v>
      </c>
      <c r="U143" s="69" t="s">
        <v>3265</v>
      </c>
      <c r="V143" s="69" t="s">
        <v>2151</v>
      </c>
      <c r="W143" s="69">
        <v>2555</v>
      </c>
      <c r="X143" s="82">
        <v>101072.936</v>
      </c>
      <c r="Y143" s="82">
        <v>88937.147</v>
      </c>
      <c r="Z143" s="69" t="s">
        <v>3741</v>
      </c>
      <c r="AA143" s="82"/>
      <c r="AB143" s="82"/>
      <c r="AC143" s="82"/>
      <c r="AD143" s="82"/>
      <c r="AE143" s="82"/>
      <c r="AF143" s="69"/>
      <c r="AG143" s="95"/>
      <c r="AH143" s="95"/>
      <c r="AI143" s="69"/>
      <c r="AJ143" s="35"/>
      <c r="AK143" s="35"/>
      <c r="AL143" s="35"/>
      <c r="AM143" s="145">
        <f t="shared" si="18"/>
        <v>0</v>
      </c>
      <c r="AN143" s="146">
        <f t="shared" si="19"/>
        <v>0</v>
      </c>
      <c r="AO143" s="82"/>
    </row>
    <row r="144" spans="1:41" ht="63" customHeight="1">
      <c r="A144" s="35">
        <v>95</v>
      </c>
      <c r="B144" s="35" t="s">
        <v>6</v>
      </c>
      <c r="C144" s="35" t="s">
        <v>6</v>
      </c>
      <c r="D144" s="82">
        <v>4</v>
      </c>
      <c r="E144" s="82" t="s">
        <v>2321</v>
      </c>
      <c r="F144" s="69" t="s">
        <v>2116</v>
      </c>
      <c r="G144" s="142" t="s">
        <v>2490</v>
      </c>
      <c r="H144" s="35" t="s">
        <v>4166</v>
      </c>
      <c r="I144" s="35" t="s">
        <v>4127</v>
      </c>
      <c r="J144" s="139">
        <v>29104391</v>
      </c>
      <c r="K144" s="35" t="s">
        <v>2438</v>
      </c>
      <c r="L144" s="35">
        <v>3447000</v>
      </c>
      <c r="M144" s="35" t="s">
        <v>3735</v>
      </c>
      <c r="N144" s="1" t="s">
        <v>4181</v>
      </c>
      <c r="O144" s="35">
        <v>3428</v>
      </c>
      <c r="P144" s="140">
        <v>43073</v>
      </c>
      <c r="Q144" s="140">
        <v>46724</v>
      </c>
      <c r="R144" s="62" t="s">
        <v>2440</v>
      </c>
      <c r="S144" s="141" t="s">
        <v>2441</v>
      </c>
      <c r="T144" s="142" t="s">
        <v>2444</v>
      </c>
      <c r="U144" s="69" t="s">
        <v>37</v>
      </c>
      <c r="V144" s="69" t="s">
        <v>3266</v>
      </c>
      <c r="W144" s="69">
        <v>2556</v>
      </c>
      <c r="X144" s="143">
        <v>101075.02</v>
      </c>
      <c r="Y144" s="143">
        <v>88968.59</v>
      </c>
      <c r="Z144" s="69" t="s">
        <v>4174</v>
      </c>
      <c r="AA144" s="104">
        <v>43735</v>
      </c>
      <c r="AB144" s="135">
        <v>0.4270833333333333</v>
      </c>
      <c r="AC144" s="82"/>
      <c r="AD144" s="82"/>
      <c r="AE144" s="82"/>
      <c r="AF144" s="69"/>
      <c r="AG144" s="95"/>
      <c r="AH144" s="95"/>
      <c r="AI144" s="69"/>
      <c r="AJ144" s="35"/>
      <c r="AK144" s="35"/>
      <c r="AL144" s="35"/>
      <c r="AM144" s="117">
        <v>36352.160633984065</v>
      </c>
      <c r="AN144" s="118">
        <v>23986.52975393283</v>
      </c>
      <c r="AO144" s="82" t="s">
        <v>2456</v>
      </c>
    </row>
    <row r="145" spans="1:41" ht="12.75" customHeight="1">
      <c r="A145" s="35">
        <v>96</v>
      </c>
      <c r="B145" s="35" t="s">
        <v>6</v>
      </c>
      <c r="C145" s="35" t="s">
        <v>6</v>
      </c>
      <c r="D145" s="82">
        <v>4</v>
      </c>
      <c r="E145" s="82" t="s">
        <v>821</v>
      </c>
      <c r="F145" s="69" t="s">
        <v>2152</v>
      </c>
      <c r="G145" s="142" t="s">
        <v>2490</v>
      </c>
      <c r="H145" s="35" t="s">
        <v>4166</v>
      </c>
      <c r="I145" s="35" t="s">
        <v>4127</v>
      </c>
      <c r="J145" s="139">
        <v>29104391</v>
      </c>
      <c r="K145" s="35" t="s">
        <v>2438</v>
      </c>
      <c r="L145" s="35">
        <v>3447000</v>
      </c>
      <c r="M145" s="35" t="s">
        <v>3735</v>
      </c>
      <c r="N145" s="1" t="s">
        <v>4181</v>
      </c>
      <c r="O145" s="35">
        <v>3428</v>
      </c>
      <c r="P145" s="140">
        <v>43073</v>
      </c>
      <c r="Q145" s="140">
        <v>46724</v>
      </c>
      <c r="R145" s="62" t="s">
        <v>2440</v>
      </c>
      <c r="S145" s="141" t="s">
        <v>2441</v>
      </c>
      <c r="T145" s="142" t="s">
        <v>2444</v>
      </c>
      <c r="U145" s="69" t="s">
        <v>3267</v>
      </c>
      <c r="V145" s="69" t="s">
        <v>2153</v>
      </c>
      <c r="W145" s="69">
        <v>2556</v>
      </c>
      <c r="X145" s="143">
        <v>101175.57</v>
      </c>
      <c r="Y145" s="143">
        <v>88931.9</v>
      </c>
      <c r="Z145" s="69" t="s">
        <v>3753</v>
      </c>
      <c r="AA145" s="104">
        <v>43735</v>
      </c>
      <c r="AB145" s="135">
        <v>0.43402777777777773</v>
      </c>
      <c r="AC145" s="69" t="s">
        <v>3909</v>
      </c>
      <c r="AD145" s="82"/>
      <c r="AE145" s="82"/>
      <c r="AF145" s="69"/>
      <c r="AG145" s="95"/>
      <c r="AH145" s="95"/>
      <c r="AI145" s="69"/>
      <c r="AJ145" s="35"/>
      <c r="AK145" s="35"/>
      <c r="AL145" s="35"/>
      <c r="AM145" s="117">
        <f t="shared" si="18"/>
        <v>0</v>
      </c>
      <c r="AN145" s="118">
        <f t="shared" si="19"/>
        <v>0</v>
      </c>
      <c r="AO145" s="82" t="s">
        <v>2456</v>
      </c>
    </row>
    <row r="146" spans="1:41" ht="25.5">
      <c r="A146" s="35">
        <v>97</v>
      </c>
      <c r="B146" s="35" t="s">
        <v>6</v>
      </c>
      <c r="C146" s="35" t="s">
        <v>6</v>
      </c>
      <c r="D146" s="82">
        <v>4</v>
      </c>
      <c r="E146" s="82" t="s">
        <v>828</v>
      </c>
      <c r="F146" s="69" t="s">
        <v>830</v>
      </c>
      <c r="G146" s="82" t="s">
        <v>2512</v>
      </c>
      <c r="H146" s="35" t="s">
        <v>4166</v>
      </c>
      <c r="I146" s="35" t="s">
        <v>4127</v>
      </c>
      <c r="J146" s="139">
        <v>29104391</v>
      </c>
      <c r="K146" s="35" t="s">
        <v>2438</v>
      </c>
      <c r="L146" s="35">
        <v>3447000</v>
      </c>
      <c r="M146" s="35" t="s">
        <v>3735</v>
      </c>
      <c r="N146" s="1" t="s">
        <v>4181</v>
      </c>
      <c r="O146" s="35">
        <v>3428</v>
      </c>
      <c r="P146" s="140">
        <v>43073</v>
      </c>
      <c r="Q146" s="140">
        <v>46724</v>
      </c>
      <c r="R146" s="62" t="s">
        <v>2440</v>
      </c>
      <c r="S146" s="35" t="s">
        <v>2442</v>
      </c>
      <c r="T146" s="142" t="s">
        <v>2444</v>
      </c>
      <c r="U146" s="69" t="s">
        <v>40</v>
      </c>
      <c r="V146" s="69" t="s">
        <v>3268</v>
      </c>
      <c r="W146" s="69">
        <v>2554</v>
      </c>
      <c r="X146" s="143">
        <v>101206.3</v>
      </c>
      <c r="Y146" s="143">
        <v>88900.15</v>
      </c>
      <c r="Z146" s="69" t="s">
        <v>3753</v>
      </c>
      <c r="AA146" s="104">
        <v>43776</v>
      </c>
      <c r="AB146" s="135" t="s">
        <v>2530</v>
      </c>
      <c r="AC146" s="82">
        <v>363</v>
      </c>
      <c r="AD146" s="82">
        <v>236</v>
      </c>
      <c r="AE146" s="82">
        <v>13.913</v>
      </c>
      <c r="AF146" s="69">
        <v>24</v>
      </c>
      <c r="AG146" s="95">
        <f>AE146*AC146*AF146*0.0036</f>
        <v>436.35620159999996</v>
      </c>
      <c r="AH146" s="95">
        <f>AE146*AD146*AF146*0.0036</f>
        <v>283.69163519999995</v>
      </c>
      <c r="AI146" s="69">
        <v>30</v>
      </c>
      <c r="AJ146" s="35">
        <v>12</v>
      </c>
      <c r="AK146" s="35">
        <v>0.64</v>
      </c>
      <c r="AL146" s="35">
        <v>0.57</v>
      </c>
      <c r="AM146" s="117">
        <f t="shared" si="18"/>
        <v>100536.46884863998</v>
      </c>
      <c r="AN146" s="118">
        <f t="shared" si="19"/>
        <v>58213.523543039984</v>
      </c>
      <c r="AO146" s="82" t="s">
        <v>2456</v>
      </c>
    </row>
    <row r="147" spans="1:41" ht="12.75" hidden="1">
      <c r="A147" s="35">
        <v>98</v>
      </c>
      <c r="B147" s="35" t="s">
        <v>6</v>
      </c>
      <c r="C147" s="35" t="s">
        <v>6</v>
      </c>
      <c r="D147" s="82">
        <v>4</v>
      </c>
      <c r="E147" s="82" t="s">
        <v>2154</v>
      </c>
      <c r="F147" s="69" t="s">
        <v>2155</v>
      </c>
      <c r="G147" s="82" t="s">
        <v>2512</v>
      </c>
      <c r="H147" s="35" t="s">
        <v>4166</v>
      </c>
      <c r="I147" s="35" t="s">
        <v>4127</v>
      </c>
      <c r="J147" s="139">
        <v>29104391</v>
      </c>
      <c r="K147" s="35" t="s">
        <v>2438</v>
      </c>
      <c r="L147" s="35">
        <v>3447000</v>
      </c>
      <c r="M147" s="35" t="s">
        <v>3735</v>
      </c>
      <c r="N147" s="1" t="s">
        <v>4181</v>
      </c>
      <c r="O147" s="35">
        <v>3428</v>
      </c>
      <c r="P147" s="140">
        <v>43073</v>
      </c>
      <c r="Q147" s="140">
        <v>46724</v>
      </c>
      <c r="R147" s="62" t="s">
        <v>2440</v>
      </c>
      <c r="S147" s="35" t="s">
        <v>2442</v>
      </c>
      <c r="T147" s="142" t="s">
        <v>2443</v>
      </c>
      <c r="U147" s="69" t="s">
        <v>3269</v>
      </c>
      <c r="V147" s="69" t="s">
        <v>2156</v>
      </c>
      <c r="W147" s="69">
        <v>2554</v>
      </c>
      <c r="X147" s="143">
        <v>101206.61</v>
      </c>
      <c r="Y147" s="143">
        <v>88899.22</v>
      </c>
      <c r="Z147" s="69" t="s">
        <v>3741</v>
      </c>
      <c r="AA147" s="104"/>
      <c r="AB147" s="135"/>
      <c r="AC147" s="82"/>
      <c r="AD147" s="82"/>
      <c r="AE147" s="82"/>
      <c r="AF147" s="69"/>
      <c r="AG147" s="95"/>
      <c r="AH147" s="95"/>
      <c r="AI147" s="69"/>
      <c r="AJ147" s="35"/>
      <c r="AK147" s="35"/>
      <c r="AL147" s="35"/>
      <c r="AM147" s="145">
        <f t="shared" si="18"/>
        <v>0</v>
      </c>
      <c r="AN147" s="146">
        <f t="shared" si="19"/>
        <v>0</v>
      </c>
      <c r="AO147" s="82" t="s">
        <v>2456</v>
      </c>
    </row>
    <row r="148" spans="1:41" ht="51">
      <c r="A148" s="35">
        <v>99</v>
      </c>
      <c r="B148" s="35" t="s">
        <v>6</v>
      </c>
      <c r="C148" s="35" t="s">
        <v>6</v>
      </c>
      <c r="D148" s="82">
        <v>4</v>
      </c>
      <c r="E148" s="82" t="s">
        <v>2322</v>
      </c>
      <c r="F148" s="69" t="s">
        <v>2157</v>
      </c>
      <c r="G148" s="142" t="s">
        <v>2490</v>
      </c>
      <c r="H148" s="35" t="s">
        <v>4166</v>
      </c>
      <c r="I148" s="35" t="s">
        <v>4127</v>
      </c>
      <c r="J148" s="139">
        <v>29104391</v>
      </c>
      <c r="K148" s="35" t="s">
        <v>2438</v>
      </c>
      <c r="L148" s="35">
        <v>3447000</v>
      </c>
      <c r="M148" s="35" t="s">
        <v>3735</v>
      </c>
      <c r="N148" s="1" t="s">
        <v>4181</v>
      </c>
      <c r="O148" s="35">
        <v>3428</v>
      </c>
      <c r="P148" s="140">
        <v>43073</v>
      </c>
      <c r="Q148" s="140">
        <v>46724</v>
      </c>
      <c r="R148" s="62" t="s">
        <v>2440</v>
      </c>
      <c r="S148" s="141" t="s">
        <v>2441</v>
      </c>
      <c r="T148" s="142" t="s">
        <v>2444</v>
      </c>
      <c r="U148" s="69" t="s">
        <v>3270</v>
      </c>
      <c r="V148" s="69" t="s">
        <v>2158</v>
      </c>
      <c r="W148" s="69">
        <v>2554</v>
      </c>
      <c r="X148" s="143">
        <v>101271.75</v>
      </c>
      <c r="Y148" s="143">
        <v>88884.42</v>
      </c>
      <c r="Z148" s="69" t="s">
        <v>3753</v>
      </c>
      <c r="AA148" s="104">
        <v>43735</v>
      </c>
      <c r="AB148" s="135">
        <v>0.4861111111111111</v>
      </c>
      <c r="AC148" s="69" t="s">
        <v>3909</v>
      </c>
      <c r="AD148" s="82"/>
      <c r="AE148" s="82"/>
      <c r="AF148" s="69"/>
      <c r="AG148" s="95"/>
      <c r="AH148" s="95"/>
      <c r="AI148" s="69"/>
      <c r="AJ148" s="35"/>
      <c r="AK148" s="35"/>
      <c r="AL148" s="35"/>
      <c r="AM148" s="117">
        <f t="shared" si="18"/>
        <v>0</v>
      </c>
      <c r="AN148" s="118">
        <f t="shared" si="19"/>
        <v>0</v>
      </c>
      <c r="AO148" s="82" t="s">
        <v>2456</v>
      </c>
    </row>
    <row r="149" spans="1:41" ht="25.5">
      <c r="A149" s="35">
        <v>100</v>
      </c>
      <c r="B149" s="35" t="s">
        <v>6</v>
      </c>
      <c r="C149" s="35" t="s">
        <v>6</v>
      </c>
      <c r="D149" s="82">
        <v>4</v>
      </c>
      <c r="E149" s="82" t="s">
        <v>2159</v>
      </c>
      <c r="F149" s="69" t="s">
        <v>2160</v>
      </c>
      <c r="G149" s="142" t="s">
        <v>2490</v>
      </c>
      <c r="H149" s="35" t="s">
        <v>4166</v>
      </c>
      <c r="I149" s="35" t="s">
        <v>4127</v>
      </c>
      <c r="J149" s="139">
        <v>29104391</v>
      </c>
      <c r="K149" s="35" t="s">
        <v>2438</v>
      </c>
      <c r="L149" s="35">
        <v>3447000</v>
      </c>
      <c r="M149" s="35" t="s">
        <v>3735</v>
      </c>
      <c r="N149" s="1" t="s">
        <v>4181</v>
      </c>
      <c r="O149" s="35">
        <v>3428</v>
      </c>
      <c r="P149" s="140">
        <v>43073</v>
      </c>
      <c r="Q149" s="140">
        <v>46724</v>
      </c>
      <c r="R149" s="62" t="s">
        <v>2440</v>
      </c>
      <c r="S149" s="141" t="s">
        <v>2441</v>
      </c>
      <c r="T149" s="142" t="s">
        <v>2444</v>
      </c>
      <c r="U149" s="69" t="s">
        <v>3271</v>
      </c>
      <c r="V149" s="69" t="s">
        <v>2161</v>
      </c>
      <c r="W149" s="69">
        <v>2554</v>
      </c>
      <c r="X149" s="143">
        <v>101305.86</v>
      </c>
      <c r="Y149" s="143">
        <v>88874.25</v>
      </c>
      <c r="Z149" s="69" t="s">
        <v>3753</v>
      </c>
      <c r="AA149" s="104">
        <v>43735</v>
      </c>
      <c r="AB149" s="147" t="s">
        <v>2533</v>
      </c>
      <c r="AC149" s="82">
        <v>388</v>
      </c>
      <c r="AD149" s="82">
        <v>294</v>
      </c>
      <c r="AE149" s="82">
        <v>9.144</v>
      </c>
      <c r="AF149" s="69">
        <v>24</v>
      </c>
      <c r="AG149" s="95">
        <f>AE149*AC149*AF149*0.0036</f>
        <v>306.5361408</v>
      </c>
      <c r="AH149" s="95">
        <f>AE149*AD149*AF149*0.0036</f>
        <v>232.2722304</v>
      </c>
      <c r="AI149" s="69">
        <v>30</v>
      </c>
      <c r="AJ149" s="35">
        <v>12</v>
      </c>
      <c r="AK149" s="82">
        <v>0.56</v>
      </c>
      <c r="AL149" s="82">
        <v>0.47</v>
      </c>
      <c r="AM149" s="117">
        <f t="shared" si="18"/>
        <v>61797.68598528001</v>
      </c>
      <c r="AN149" s="118">
        <f t="shared" si="19"/>
        <v>39300.46138368</v>
      </c>
      <c r="AO149" s="82" t="s">
        <v>2456</v>
      </c>
    </row>
    <row r="150" spans="1:41" ht="12.75" customHeight="1" hidden="1">
      <c r="A150" s="35">
        <v>101</v>
      </c>
      <c r="B150" s="35" t="s">
        <v>6</v>
      </c>
      <c r="C150" s="35" t="s">
        <v>6</v>
      </c>
      <c r="D150" s="82">
        <v>4</v>
      </c>
      <c r="E150" s="82" t="s">
        <v>2162</v>
      </c>
      <c r="F150" s="69" t="s">
        <v>2163</v>
      </c>
      <c r="G150" s="142" t="s">
        <v>2490</v>
      </c>
      <c r="H150" s="35" t="s">
        <v>4166</v>
      </c>
      <c r="I150" s="35" t="s">
        <v>4127</v>
      </c>
      <c r="J150" s="139">
        <v>29104391</v>
      </c>
      <c r="K150" s="35" t="s">
        <v>2438</v>
      </c>
      <c r="L150" s="35">
        <v>3447000</v>
      </c>
      <c r="M150" s="35" t="s">
        <v>3735</v>
      </c>
      <c r="N150" s="1" t="s">
        <v>4181</v>
      </c>
      <c r="O150" s="35">
        <v>3428</v>
      </c>
      <c r="P150" s="140">
        <v>43073</v>
      </c>
      <c r="Q150" s="140">
        <v>46724</v>
      </c>
      <c r="R150" s="62" t="s">
        <v>2440</v>
      </c>
      <c r="S150" s="141" t="s">
        <v>2441</v>
      </c>
      <c r="T150" s="142" t="s">
        <v>2447</v>
      </c>
      <c r="U150" s="69" t="s">
        <v>3272</v>
      </c>
      <c r="V150" s="69" t="s">
        <v>2164</v>
      </c>
      <c r="W150" s="69">
        <v>2554</v>
      </c>
      <c r="X150" s="143">
        <v>101309.55</v>
      </c>
      <c r="Y150" s="143">
        <v>88873.02</v>
      </c>
      <c r="Z150" s="69" t="s">
        <v>3741</v>
      </c>
      <c r="AA150" s="82"/>
      <c r="AB150" s="82"/>
      <c r="AC150" s="82"/>
      <c r="AD150" s="82"/>
      <c r="AE150" s="82"/>
      <c r="AF150" s="69"/>
      <c r="AG150" s="95"/>
      <c r="AH150" s="95"/>
      <c r="AI150" s="69"/>
      <c r="AJ150" s="35"/>
      <c r="AK150" s="35"/>
      <c r="AL150" s="35"/>
      <c r="AM150" s="145">
        <f t="shared" si="18"/>
        <v>0</v>
      </c>
      <c r="AN150" s="146">
        <f t="shared" si="19"/>
        <v>0</v>
      </c>
      <c r="AO150" s="82" t="s">
        <v>2456</v>
      </c>
    </row>
    <row r="151" spans="1:41" ht="25.5">
      <c r="A151" s="35">
        <v>102</v>
      </c>
      <c r="B151" s="35" t="s">
        <v>6</v>
      </c>
      <c r="C151" s="35" t="s">
        <v>6</v>
      </c>
      <c r="D151" s="82">
        <v>4</v>
      </c>
      <c r="E151" s="82" t="s">
        <v>2327</v>
      </c>
      <c r="F151" s="69" t="s">
        <v>2328</v>
      </c>
      <c r="G151" s="142" t="s">
        <v>2490</v>
      </c>
      <c r="H151" s="35" t="s">
        <v>4166</v>
      </c>
      <c r="I151" s="35" t="s">
        <v>4127</v>
      </c>
      <c r="J151" s="139">
        <v>29104391</v>
      </c>
      <c r="K151" s="35" t="s">
        <v>2438</v>
      </c>
      <c r="L151" s="35">
        <v>3447000</v>
      </c>
      <c r="M151" s="35" t="s">
        <v>3735</v>
      </c>
      <c r="N151" s="1" t="s">
        <v>4181</v>
      </c>
      <c r="O151" s="35">
        <v>3428</v>
      </c>
      <c r="P151" s="140">
        <v>43073</v>
      </c>
      <c r="Q151" s="140">
        <v>46724</v>
      </c>
      <c r="R151" s="62" t="s">
        <v>2440</v>
      </c>
      <c r="S151" s="141" t="s">
        <v>2441</v>
      </c>
      <c r="T151" s="142" t="s">
        <v>2444</v>
      </c>
      <c r="U151" s="69" t="s">
        <v>3273</v>
      </c>
      <c r="V151" s="69" t="s">
        <v>2329</v>
      </c>
      <c r="W151" s="69">
        <v>2554</v>
      </c>
      <c r="X151" s="143">
        <v>101399.59</v>
      </c>
      <c r="Y151" s="143">
        <v>88918.66</v>
      </c>
      <c r="Z151" s="69" t="s">
        <v>3753</v>
      </c>
      <c r="AA151" s="104">
        <v>43739</v>
      </c>
      <c r="AB151" s="82" t="s">
        <v>3737</v>
      </c>
      <c r="AC151" s="157">
        <v>388</v>
      </c>
      <c r="AD151" s="157">
        <v>210</v>
      </c>
      <c r="AE151" s="158">
        <v>5.015</v>
      </c>
      <c r="AF151" s="69">
        <v>24</v>
      </c>
      <c r="AG151" s="95">
        <f>AE151*AC151*AF151*0.0036</f>
        <v>168.11884799999999</v>
      </c>
      <c r="AH151" s="95">
        <f>AE151*AD151*AF151*0.0036</f>
        <v>90.99216</v>
      </c>
      <c r="AI151" s="69">
        <v>30</v>
      </c>
      <c r="AJ151" s="35">
        <v>12</v>
      </c>
      <c r="AK151" s="35">
        <v>0.54</v>
      </c>
      <c r="AL151" s="35">
        <v>0.48</v>
      </c>
      <c r="AM151" s="117">
        <f t="shared" si="18"/>
        <v>32682.3040512</v>
      </c>
      <c r="AN151" s="118">
        <f t="shared" si="19"/>
        <v>15723.445247999998</v>
      </c>
      <c r="AO151" s="82" t="s">
        <v>2456</v>
      </c>
    </row>
    <row r="152" spans="1:41" ht="25.5">
      <c r="A152" s="35">
        <v>103</v>
      </c>
      <c r="B152" s="35" t="s">
        <v>6</v>
      </c>
      <c r="C152" s="35" t="s">
        <v>6</v>
      </c>
      <c r="D152" s="82">
        <v>4</v>
      </c>
      <c r="E152" s="82" t="s">
        <v>2165</v>
      </c>
      <c r="F152" s="69" t="s">
        <v>2166</v>
      </c>
      <c r="G152" s="142" t="s">
        <v>2490</v>
      </c>
      <c r="H152" s="35" t="s">
        <v>4166</v>
      </c>
      <c r="I152" s="35" t="s">
        <v>4127</v>
      </c>
      <c r="J152" s="139">
        <v>29104391</v>
      </c>
      <c r="K152" s="35" t="s">
        <v>2438</v>
      </c>
      <c r="L152" s="35">
        <v>3447000</v>
      </c>
      <c r="M152" s="35" t="s">
        <v>3735</v>
      </c>
      <c r="N152" s="1" t="s">
        <v>4181</v>
      </c>
      <c r="O152" s="35">
        <v>3428</v>
      </c>
      <c r="P152" s="140">
        <v>43073</v>
      </c>
      <c r="Q152" s="140">
        <v>46724</v>
      </c>
      <c r="R152" s="62" t="s">
        <v>2440</v>
      </c>
      <c r="S152" s="141" t="s">
        <v>2441</v>
      </c>
      <c r="T152" s="142" t="s">
        <v>2444</v>
      </c>
      <c r="U152" s="69" t="s">
        <v>3274</v>
      </c>
      <c r="V152" s="69" t="s">
        <v>2167</v>
      </c>
      <c r="W152" s="69">
        <v>2555</v>
      </c>
      <c r="X152" s="143">
        <v>101444.76</v>
      </c>
      <c r="Y152" s="143">
        <v>88942.71</v>
      </c>
      <c r="Z152" s="69" t="s">
        <v>3910</v>
      </c>
      <c r="AA152" s="104"/>
      <c r="AB152" s="82"/>
      <c r="AC152" s="82"/>
      <c r="AD152" s="82"/>
      <c r="AE152" s="82"/>
      <c r="AF152" s="69"/>
      <c r="AG152" s="95"/>
      <c r="AH152" s="95"/>
      <c r="AI152" s="69"/>
      <c r="AJ152" s="35"/>
      <c r="AK152" s="35"/>
      <c r="AL152" s="35"/>
      <c r="AM152" s="117">
        <f t="shared" si="18"/>
        <v>0</v>
      </c>
      <c r="AN152" s="118">
        <f t="shared" si="19"/>
        <v>0</v>
      </c>
      <c r="AO152" s="82" t="s">
        <v>2456</v>
      </c>
    </row>
    <row r="153" spans="1:41" ht="25.5">
      <c r="A153" s="35">
        <v>104</v>
      </c>
      <c r="B153" s="35" t="s">
        <v>6</v>
      </c>
      <c r="C153" s="35" t="s">
        <v>6</v>
      </c>
      <c r="D153" s="82">
        <v>4</v>
      </c>
      <c r="E153" s="82" t="s">
        <v>2168</v>
      </c>
      <c r="F153" s="69" t="s">
        <v>2169</v>
      </c>
      <c r="G153" s="69" t="s">
        <v>2512</v>
      </c>
      <c r="H153" s="35" t="s">
        <v>4166</v>
      </c>
      <c r="I153" s="35" t="s">
        <v>4127</v>
      </c>
      <c r="J153" s="139">
        <v>29104391</v>
      </c>
      <c r="K153" s="35" t="s">
        <v>2438</v>
      </c>
      <c r="L153" s="35">
        <v>3447000</v>
      </c>
      <c r="M153" s="35" t="s">
        <v>3735</v>
      </c>
      <c r="N153" s="1" t="s">
        <v>4181</v>
      </c>
      <c r="O153" s="35">
        <v>3428</v>
      </c>
      <c r="P153" s="140">
        <v>43073</v>
      </c>
      <c r="Q153" s="140">
        <v>46724</v>
      </c>
      <c r="R153" s="62" t="s">
        <v>2440</v>
      </c>
      <c r="S153" s="35" t="s">
        <v>2442</v>
      </c>
      <c r="T153" s="142" t="s">
        <v>2444</v>
      </c>
      <c r="U153" s="69" t="s">
        <v>3275</v>
      </c>
      <c r="V153" s="69" t="s">
        <v>2170</v>
      </c>
      <c r="W153" s="69">
        <v>2554</v>
      </c>
      <c r="X153" s="143">
        <v>101503.76</v>
      </c>
      <c r="Y153" s="143">
        <v>88910.64</v>
      </c>
      <c r="Z153" s="69" t="s">
        <v>3753</v>
      </c>
      <c r="AA153" s="104">
        <v>43739</v>
      </c>
      <c r="AB153" s="82" t="s">
        <v>3850</v>
      </c>
      <c r="AC153" s="82">
        <v>429</v>
      </c>
      <c r="AD153" s="82">
        <v>328</v>
      </c>
      <c r="AE153" s="82">
        <v>8</v>
      </c>
      <c r="AF153" s="69">
        <v>24</v>
      </c>
      <c r="AG153" s="95">
        <f>AE153*AC153*AF153*0.0036</f>
        <v>296.52479999999997</v>
      </c>
      <c r="AH153" s="95">
        <f>AE153*AD153*AF153*0.0036</f>
        <v>226.71359999999999</v>
      </c>
      <c r="AI153" s="69">
        <v>30</v>
      </c>
      <c r="AJ153" s="35">
        <v>12</v>
      </c>
      <c r="AK153" s="35">
        <v>0.54</v>
      </c>
      <c r="AL153" s="35">
        <v>0.48</v>
      </c>
      <c r="AM153" s="117">
        <f t="shared" si="18"/>
        <v>57644.42112</v>
      </c>
      <c r="AN153" s="118">
        <f t="shared" si="19"/>
        <v>39176.11008</v>
      </c>
      <c r="AO153" s="82" t="s">
        <v>2456</v>
      </c>
    </row>
    <row r="154" spans="1:41" ht="63.75">
      <c r="A154" s="35">
        <v>105</v>
      </c>
      <c r="B154" s="35" t="s">
        <v>6</v>
      </c>
      <c r="C154" s="35" t="s">
        <v>6</v>
      </c>
      <c r="D154" s="82">
        <v>4</v>
      </c>
      <c r="E154" s="82" t="s">
        <v>2171</v>
      </c>
      <c r="F154" s="69" t="s">
        <v>2172</v>
      </c>
      <c r="G154" s="69" t="s">
        <v>2512</v>
      </c>
      <c r="H154" s="35" t="s">
        <v>4166</v>
      </c>
      <c r="I154" s="35" t="s">
        <v>4127</v>
      </c>
      <c r="J154" s="139">
        <v>29104391</v>
      </c>
      <c r="K154" s="35" t="s">
        <v>2438</v>
      </c>
      <c r="L154" s="35">
        <v>3447000</v>
      </c>
      <c r="M154" s="35" t="s">
        <v>3735</v>
      </c>
      <c r="N154" s="1" t="s">
        <v>4181</v>
      </c>
      <c r="O154" s="35">
        <v>3428</v>
      </c>
      <c r="P154" s="140">
        <v>43073</v>
      </c>
      <c r="Q154" s="140">
        <v>46724</v>
      </c>
      <c r="R154" s="62" t="s">
        <v>2440</v>
      </c>
      <c r="S154" s="35" t="s">
        <v>2442</v>
      </c>
      <c r="T154" s="142" t="s">
        <v>2447</v>
      </c>
      <c r="U154" s="69" t="s">
        <v>3276</v>
      </c>
      <c r="V154" s="69" t="s">
        <v>2173</v>
      </c>
      <c r="W154" s="69">
        <v>2554</v>
      </c>
      <c r="X154" s="143">
        <v>101505.3</v>
      </c>
      <c r="Y154" s="143">
        <v>88912.8</v>
      </c>
      <c r="Z154" s="69" t="s">
        <v>3911</v>
      </c>
      <c r="AA154" s="104"/>
      <c r="AB154" s="147"/>
      <c r="AC154" s="93"/>
      <c r="AD154" s="93"/>
      <c r="AE154" s="93"/>
      <c r="AF154" s="93"/>
      <c r="AG154" s="93"/>
      <c r="AH154" s="93"/>
      <c r="AI154" s="93"/>
      <c r="AJ154" s="93"/>
      <c r="AK154" s="93"/>
      <c r="AL154" s="93"/>
      <c r="AM154" s="117">
        <f aca="true" t="shared" si="20" ref="AM154:AM184">AG154*AI154*AJ154*AK154</f>
        <v>0</v>
      </c>
      <c r="AN154" s="118">
        <f aca="true" t="shared" si="21" ref="AN154:AN184">AH154*AI154*AJ154*AL154</f>
        <v>0</v>
      </c>
      <c r="AO154" s="82" t="s">
        <v>2456</v>
      </c>
    </row>
    <row r="155" spans="1:41" ht="12.75" hidden="1">
      <c r="A155" s="35">
        <v>106</v>
      </c>
      <c r="B155" s="35" t="s">
        <v>6</v>
      </c>
      <c r="C155" s="35" t="s">
        <v>6</v>
      </c>
      <c r="D155" s="82">
        <v>4</v>
      </c>
      <c r="E155" s="82" t="s">
        <v>2174</v>
      </c>
      <c r="F155" s="69" t="s">
        <v>2175</v>
      </c>
      <c r="G155" s="142" t="s">
        <v>2490</v>
      </c>
      <c r="H155" s="35" t="s">
        <v>4166</v>
      </c>
      <c r="I155" s="35" t="s">
        <v>4127</v>
      </c>
      <c r="J155" s="139">
        <v>29104391</v>
      </c>
      <c r="K155" s="35" t="s">
        <v>2438</v>
      </c>
      <c r="L155" s="35">
        <v>3447000</v>
      </c>
      <c r="M155" s="35" t="s">
        <v>3735</v>
      </c>
      <c r="N155" s="1" t="s">
        <v>4181</v>
      </c>
      <c r="O155" s="35">
        <v>3428</v>
      </c>
      <c r="P155" s="140">
        <v>43073</v>
      </c>
      <c r="Q155" s="140">
        <v>46724</v>
      </c>
      <c r="R155" s="62" t="s">
        <v>2440</v>
      </c>
      <c r="S155" s="141" t="s">
        <v>2441</v>
      </c>
      <c r="T155" s="142" t="s">
        <v>2444</v>
      </c>
      <c r="U155" s="69" t="s">
        <v>3277</v>
      </c>
      <c r="V155" s="69" t="s">
        <v>2176</v>
      </c>
      <c r="W155" s="69">
        <v>2555</v>
      </c>
      <c r="X155" s="143">
        <v>101528.96</v>
      </c>
      <c r="Y155" s="143">
        <v>88917.74</v>
      </c>
      <c r="Z155" s="69" t="s">
        <v>3741</v>
      </c>
      <c r="AA155" s="82"/>
      <c r="AB155" s="82"/>
      <c r="AC155" s="82"/>
      <c r="AD155" s="82"/>
      <c r="AE155" s="82"/>
      <c r="AF155" s="69"/>
      <c r="AG155" s="95"/>
      <c r="AH155" s="95"/>
      <c r="AI155" s="69"/>
      <c r="AJ155" s="35"/>
      <c r="AK155" s="35"/>
      <c r="AL155" s="35"/>
      <c r="AM155" s="145">
        <f t="shared" si="20"/>
        <v>0</v>
      </c>
      <c r="AN155" s="146">
        <f t="shared" si="21"/>
        <v>0</v>
      </c>
      <c r="AO155" s="82" t="s">
        <v>2456</v>
      </c>
    </row>
    <row r="156" spans="1:41" ht="25.5">
      <c r="A156" s="35">
        <v>107</v>
      </c>
      <c r="B156" s="35" t="s">
        <v>6</v>
      </c>
      <c r="C156" s="35" t="s">
        <v>6</v>
      </c>
      <c r="D156" s="82">
        <v>4</v>
      </c>
      <c r="E156" s="35" t="s">
        <v>831</v>
      </c>
      <c r="F156" s="138" t="s">
        <v>839</v>
      </c>
      <c r="G156" s="69" t="s">
        <v>2512</v>
      </c>
      <c r="H156" s="35" t="s">
        <v>4166</v>
      </c>
      <c r="I156" s="35" t="s">
        <v>4127</v>
      </c>
      <c r="J156" s="139">
        <v>29104391</v>
      </c>
      <c r="K156" s="35" t="s">
        <v>2438</v>
      </c>
      <c r="L156" s="35">
        <v>3447000</v>
      </c>
      <c r="M156" s="35" t="s">
        <v>3735</v>
      </c>
      <c r="N156" s="1" t="s">
        <v>4181</v>
      </c>
      <c r="O156" s="35">
        <v>3428</v>
      </c>
      <c r="P156" s="140">
        <v>43073</v>
      </c>
      <c r="Q156" s="140">
        <v>46724</v>
      </c>
      <c r="R156" s="62" t="s">
        <v>2440</v>
      </c>
      <c r="S156" s="35" t="s">
        <v>2442</v>
      </c>
      <c r="T156" s="142" t="s">
        <v>2444</v>
      </c>
      <c r="U156" s="138" t="s">
        <v>3278</v>
      </c>
      <c r="V156" s="138" t="s">
        <v>2325</v>
      </c>
      <c r="W156" s="69">
        <v>2555</v>
      </c>
      <c r="X156" s="143">
        <v>101626.99</v>
      </c>
      <c r="Y156" s="143">
        <v>88811.98</v>
      </c>
      <c r="Z156" s="2" t="s">
        <v>4046</v>
      </c>
      <c r="AA156" s="82"/>
      <c r="AB156" s="82"/>
      <c r="AC156" s="82"/>
      <c r="AD156" s="82"/>
      <c r="AE156" s="82"/>
      <c r="AF156" s="69"/>
      <c r="AG156" s="95"/>
      <c r="AH156" s="95"/>
      <c r="AI156" s="69"/>
      <c r="AJ156" s="35"/>
      <c r="AK156" s="35"/>
      <c r="AL156" s="35"/>
      <c r="AM156" s="117">
        <f>AVERAGE(AM157:AM158)</f>
        <v>70058.11865471999</v>
      </c>
      <c r="AN156" s="117">
        <f>AVERAGE(AN157:AN158)</f>
        <v>48615.457132799995</v>
      </c>
      <c r="AO156" s="82" t="s">
        <v>2456</v>
      </c>
    </row>
    <row r="157" spans="1:41" ht="25.5" hidden="1">
      <c r="A157" s="35"/>
      <c r="B157" s="35"/>
      <c r="C157" s="35"/>
      <c r="D157" s="82"/>
      <c r="E157" s="35"/>
      <c r="F157" s="138"/>
      <c r="G157" s="69"/>
      <c r="H157" s="35"/>
      <c r="I157" s="35"/>
      <c r="J157" s="139"/>
      <c r="K157" s="35"/>
      <c r="L157" s="35"/>
      <c r="M157" s="35"/>
      <c r="N157" s="1" t="s">
        <v>4181</v>
      </c>
      <c r="O157" s="35"/>
      <c r="P157" s="140"/>
      <c r="Q157" s="140"/>
      <c r="R157" s="62"/>
      <c r="S157" s="35"/>
      <c r="T157" s="142"/>
      <c r="U157" s="138"/>
      <c r="V157" s="138"/>
      <c r="W157" s="69"/>
      <c r="X157" s="143"/>
      <c r="Y157" s="143"/>
      <c r="Z157" s="69" t="s">
        <v>3753</v>
      </c>
      <c r="AA157" s="104">
        <v>43740</v>
      </c>
      <c r="AB157" s="82" t="s">
        <v>3853</v>
      </c>
      <c r="AC157" s="82">
        <v>591</v>
      </c>
      <c r="AD157" s="82">
        <v>320</v>
      </c>
      <c r="AE157" s="82">
        <v>4.049</v>
      </c>
      <c r="AF157" s="69">
        <v>24</v>
      </c>
      <c r="AG157" s="95">
        <f>AE157*AC157*AF157*0.0036</f>
        <v>206.75165760000002</v>
      </c>
      <c r="AH157" s="95">
        <f>AE157*AD157*AF157*0.0036</f>
        <v>111.94675199999999</v>
      </c>
      <c r="AI157" s="69">
        <v>30</v>
      </c>
      <c r="AJ157" s="35">
        <v>12</v>
      </c>
      <c r="AK157" s="35">
        <v>0.54</v>
      </c>
      <c r="AL157" s="35">
        <v>0.48</v>
      </c>
      <c r="AM157" s="127">
        <f>AG157*AI157*AJ157*AK157</f>
        <v>40192.522237440004</v>
      </c>
      <c r="AN157" s="128">
        <f>AH157*AI157*AJ157*AL157</f>
        <v>19344.3987456</v>
      </c>
      <c r="AO157" s="93"/>
    </row>
    <row r="158" spans="1:41" ht="25.5" hidden="1">
      <c r="A158" s="184"/>
      <c r="B158" s="184"/>
      <c r="C158" s="184"/>
      <c r="D158" s="93"/>
      <c r="E158" s="184"/>
      <c r="F158" s="193"/>
      <c r="G158" s="178"/>
      <c r="H158" s="184"/>
      <c r="I158" s="184"/>
      <c r="J158" s="187"/>
      <c r="K158" s="184"/>
      <c r="L158" s="184"/>
      <c r="M158" s="184"/>
      <c r="N158" s="1" t="s">
        <v>4181</v>
      </c>
      <c r="O158" s="184"/>
      <c r="P158" s="188"/>
      <c r="Q158" s="188"/>
      <c r="R158" s="185"/>
      <c r="S158" s="184"/>
      <c r="T158" s="186"/>
      <c r="U158" s="193"/>
      <c r="V158" s="193"/>
      <c r="W158" s="178"/>
      <c r="X158" s="189"/>
      <c r="Y158" s="189"/>
      <c r="Z158" s="69" t="s">
        <v>4017</v>
      </c>
      <c r="AA158" s="104">
        <v>43685</v>
      </c>
      <c r="AB158" s="82" t="s">
        <v>3912</v>
      </c>
      <c r="AC158" s="82">
        <v>556</v>
      </c>
      <c r="AD158" s="82">
        <v>407</v>
      </c>
      <c r="AE158" s="82">
        <v>5.35</v>
      </c>
      <c r="AF158" s="69">
        <v>24</v>
      </c>
      <c r="AG158" s="95">
        <f>AE158*AC158*AF158*0.0036</f>
        <v>257.00543999999996</v>
      </c>
      <c r="AH158" s="95">
        <f>AE158*AD158*AF158*0.0036</f>
        <v>188.13168</v>
      </c>
      <c r="AI158" s="69">
        <v>30</v>
      </c>
      <c r="AJ158" s="35">
        <v>12</v>
      </c>
      <c r="AK158" s="35">
        <v>1.08</v>
      </c>
      <c r="AL158" s="35">
        <v>1.15</v>
      </c>
      <c r="AM158" s="127">
        <f t="shared" si="20"/>
        <v>99923.71507199999</v>
      </c>
      <c r="AN158" s="128">
        <f t="shared" si="21"/>
        <v>77886.51551999999</v>
      </c>
      <c r="AO158" s="93"/>
    </row>
    <row r="159" spans="1:41" ht="12.75" customHeight="1">
      <c r="A159" s="35">
        <v>108</v>
      </c>
      <c r="B159" s="35" t="s">
        <v>6</v>
      </c>
      <c r="C159" s="35" t="s">
        <v>6</v>
      </c>
      <c r="D159" s="82">
        <v>4</v>
      </c>
      <c r="E159" s="35" t="s">
        <v>832</v>
      </c>
      <c r="F159" s="138" t="s">
        <v>840</v>
      </c>
      <c r="G159" s="69" t="s">
        <v>2512</v>
      </c>
      <c r="H159" s="35" t="s">
        <v>4166</v>
      </c>
      <c r="I159" s="35" t="s">
        <v>4127</v>
      </c>
      <c r="J159" s="139">
        <v>29104391</v>
      </c>
      <c r="K159" s="35" t="s">
        <v>2438</v>
      </c>
      <c r="L159" s="35">
        <v>3447000</v>
      </c>
      <c r="M159" s="35" t="s">
        <v>3735</v>
      </c>
      <c r="N159" s="1" t="s">
        <v>4181</v>
      </c>
      <c r="O159" s="35">
        <v>3428</v>
      </c>
      <c r="P159" s="140">
        <v>43073</v>
      </c>
      <c r="Q159" s="140">
        <v>46724</v>
      </c>
      <c r="R159" s="62" t="s">
        <v>2440</v>
      </c>
      <c r="S159" s="141" t="s">
        <v>2441</v>
      </c>
      <c r="T159" s="142" t="s">
        <v>2443</v>
      </c>
      <c r="U159" s="138" t="s">
        <v>3279</v>
      </c>
      <c r="V159" s="138" t="s">
        <v>836</v>
      </c>
      <c r="W159" s="69">
        <v>2555</v>
      </c>
      <c r="X159" s="143">
        <v>101630.06</v>
      </c>
      <c r="Y159" s="143">
        <v>88833.87</v>
      </c>
      <c r="Z159" s="69" t="s">
        <v>3753</v>
      </c>
      <c r="AA159" s="104">
        <v>43740</v>
      </c>
      <c r="AB159" s="82" t="s">
        <v>3897</v>
      </c>
      <c r="AC159" s="82">
        <v>11</v>
      </c>
      <c r="AD159" s="82">
        <v>20</v>
      </c>
      <c r="AE159" s="82">
        <v>0.186</v>
      </c>
      <c r="AF159" s="69">
        <v>24</v>
      </c>
      <c r="AG159" s="95">
        <f>AE159*AC159*AF159*0.0036</f>
        <v>0.1767744</v>
      </c>
      <c r="AH159" s="95">
        <f>AE159*AD159*AF159*0.0036</f>
        <v>0.32140799999999997</v>
      </c>
      <c r="AI159" s="69">
        <v>30</v>
      </c>
      <c r="AJ159" s="35">
        <v>12</v>
      </c>
      <c r="AK159" s="35">
        <v>0.51</v>
      </c>
      <c r="AL159" s="35">
        <v>0.48</v>
      </c>
      <c r="AM159" s="117">
        <f>AG159*AI159*AJ159*AK159</f>
        <v>32.45577984</v>
      </c>
      <c r="AN159" s="118">
        <f>AH159*AI159*AJ159*AL159</f>
        <v>55.53930239999999</v>
      </c>
      <c r="AO159" s="159" t="s">
        <v>2456</v>
      </c>
    </row>
    <row r="160" spans="1:41" ht="30.75" customHeight="1">
      <c r="A160" s="184">
        <v>109</v>
      </c>
      <c r="B160" s="35" t="s">
        <v>6</v>
      </c>
      <c r="C160" s="35" t="s">
        <v>6</v>
      </c>
      <c r="D160" s="82">
        <v>4</v>
      </c>
      <c r="E160" s="35" t="s">
        <v>833</v>
      </c>
      <c r="F160" s="138" t="s">
        <v>840</v>
      </c>
      <c r="G160" s="69" t="s">
        <v>2512</v>
      </c>
      <c r="H160" s="35" t="s">
        <v>4166</v>
      </c>
      <c r="I160" s="35" t="s">
        <v>4127</v>
      </c>
      <c r="J160" s="139">
        <v>29104391</v>
      </c>
      <c r="K160" s="35" t="s">
        <v>2438</v>
      </c>
      <c r="L160" s="35">
        <v>3447000</v>
      </c>
      <c r="M160" s="35" t="s">
        <v>3735</v>
      </c>
      <c r="N160" s="1" t="s">
        <v>4181</v>
      </c>
      <c r="O160" s="35">
        <v>3428</v>
      </c>
      <c r="P160" s="140">
        <v>43073</v>
      </c>
      <c r="Q160" s="140">
        <v>46724</v>
      </c>
      <c r="R160" s="62" t="s">
        <v>2440</v>
      </c>
      <c r="S160" s="141" t="s">
        <v>2441</v>
      </c>
      <c r="T160" s="142" t="s">
        <v>2444</v>
      </c>
      <c r="U160" s="138" t="s">
        <v>3280</v>
      </c>
      <c r="V160" s="138" t="s">
        <v>837</v>
      </c>
      <c r="W160" s="69">
        <v>2555</v>
      </c>
      <c r="X160" s="143">
        <v>101630.68</v>
      </c>
      <c r="Y160" s="143">
        <v>88829.86</v>
      </c>
      <c r="Z160" s="2" t="s">
        <v>4046</v>
      </c>
      <c r="AA160" s="104"/>
      <c r="AB160" s="82"/>
      <c r="AC160" s="82"/>
      <c r="AD160" s="82"/>
      <c r="AE160" s="82"/>
      <c r="AF160" s="69"/>
      <c r="AG160" s="95"/>
      <c r="AH160" s="95"/>
      <c r="AI160" s="69"/>
      <c r="AJ160" s="35"/>
      <c r="AK160" s="35"/>
      <c r="AL160" s="35"/>
      <c r="AM160" s="117">
        <f>AVERAGE(AM161:AM162)</f>
        <v>23166.77428224</v>
      </c>
      <c r="AN160" s="117">
        <f>AVERAGE(AN161:AN162)</f>
        <v>15830.396974079998</v>
      </c>
      <c r="AO160" s="69" t="s">
        <v>2456</v>
      </c>
    </row>
    <row r="161" spans="1:41" ht="25.5" hidden="1">
      <c r="A161" s="184"/>
      <c r="B161" s="184"/>
      <c r="C161" s="184"/>
      <c r="D161" s="93"/>
      <c r="E161" s="184"/>
      <c r="F161" s="193"/>
      <c r="G161" s="178"/>
      <c r="H161" s="184"/>
      <c r="I161" s="184"/>
      <c r="J161" s="187"/>
      <c r="K161" s="184"/>
      <c r="L161" s="184"/>
      <c r="M161" s="184"/>
      <c r="N161" s="1" t="s">
        <v>4181</v>
      </c>
      <c r="O161" s="184"/>
      <c r="P161" s="188"/>
      <c r="Q161" s="188"/>
      <c r="R161" s="185"/>
      <c r="S161" s="195"/>
      <c r="T161" s="186"/>
      <c r="U161" s="193"/>
      <c r="V161" s="193"/>
      <c r="W161" s="178"/>
      <c r="X161" s="189"/>
      <c r="Y161" s="189"/>
      <c r="Z161" s="69" t="s">
        <v>3753</v>
      </c>
      <c r="AA161" s="104">
        <v>43740</v>
      </c>
      <c r="AB161" s="82" t="s">
        <v>3898</v>
      </c>
      <c r="AC161" s="82">
        <v>212</v>
      </c>
      <c r="AD161" s="82">
        <v>144</v>
      </c>
      <c r="AE161" s="82">
        <v>4.394</v>
      </c>
      <c r="AF161" s="69">
        <v>24</v>
      </c>
      <c r="AG161" s="95">
        <f>AE161*AC161*AF161*0.0036</f>
        <v>80.48401919999999</v>
      </c>
      <c r="AH161" s="95">
        <f>AE161*AD161*AF161*0.0036</f>
        <v>54.6683904</v>
      </c>
      <c r="AI161" s="69">
        <v>30</v>
      </c>
      <c r="AJ161" s="35">
        <v>12</v>
      </c>
      <c r="AK161" s="35">
        <v>0.54</v>
      </c>
      <c r="AL161" s="35">
        <v>0.48</v>
      </c>
      <c r="AM161" s="127">
        <f t="shared" si="20"/>
        <v>15646.09333248</v>
      </c>
      <c r="AN161" s="162">
        <f t="shared" si="21"/>
        <v>9446.69786112</v>
      </c>
      <c r="AO161" s="69"/>
    </row>
    <row r="162" spans="1:41" ht="25.5" hidden="1">
      <c r="A162" s="184"/>
      <c r="B162" s="184"/>
      <c r="C162" s="184"/>
      <c r="D162" s="93"/>
      <c r="E162" s="184"/>
      <c r="F162" s="193"/>
      <c r="G162" s="178"/>
      <c r="H162" s="184"/>
      <c r="I162" s="184"/>
      <c r="J162" s="187"/>
      <c r="K162" s="184"/>
      <c r="L162" s="184"/>
      <c r="M162" s="184"/>
      <c r="N162" s="1" t="s">
        <v>4181</v>
      </c>
      <c r="O162" s="184"/>
      <c r="P162" s="188"/>
      <c r="Q162" s="188"/>
      <c r="R162" s="185"/>
      <c r="S162" s="195"/>
      <c r="T162" s="186"/>
      <c r="U162" s="193"/>
      <c r="V162" s="193"/>
      <c r="W162" s="178"/>
      <c r="X162" s="189"/>
      <c r="Y162" s="189"/>
      <c r="Z162" s="69" t="s">
        <v>4018</v>
      </c>
      <c r="AA162" s="104">
        <v>43685</v>
      </c>
      <c r="AB162" s="82" t="s">
        <v>3913</v>
      </c>
      <c r="AC162" s="82">
        <v>230</v>
      </c>
      <c r="AD162" s="82">
        <v>163</v>
      </c>
      <c r="AE162" s="82">
        <v>3.064</v>
      </c>
      <c r="AF162" s="69">
        <v>24</v>
      </c>
      <c r="AG162" s="95">
        <f>AE162*AC162*AF162*0.0036</f>
        <v>60.88780799999999</v>
      </c>
      <c r="AH162" s="95">
        <f>AE162*AD162*AF162*0.0036</f>
        <v>43.1509248</v>
      </c>
      <c r="AI162" s="69">
        <v>30</v>
      </c>
      <c r="AJ162" s="35">
        <v>12</v>
      </c>
      <c r="AK162" s="35">
        <v>1.4</v>
      </c>
      <c r="AL162" s="35">
        <v>1.43</v>
      </c>
      <c r="AM162" s="127">
        <f>AG162*AI162*AJ162*AK162</f>
        <v>30687.455231999997</v>
      </c>
      <c r="AN162" s="128">
        <f>AH162*AI162*AJ162*AL162</f>
        <v>22214.096087039998</v>
      </c>
      <c r="AO162" s="69"/>
    </row>
    <row r="163" spans="1:41" ht="35.25" customHeight="1">
      <c r="A163" s="35">
        <v>110</v>
      </c>
      <c r="B163" s="35" t="s">
        <v>6</v>
      </c>
      <c r="C163" s="35" t="s">
        <v>6</v>
      </c>
      <c r="D163" s="82">
        <v>4</v>
      </c>
      <c r="E163" s="35" t="s">
        <v>834</v>
      </c>
      <c r="F163" s="138" t="s">
        <v>841</v>
      </c>
      <c r="G163" s="69" t="s">
        <v>2512</v>
      </c>
      <c r="H163" s="35" t="s">
        <v>4166</v>
      </c>
      <c r="I163" s="35" t="s">
        <v>4127</v>
      </c>
      <c r="J163" s="139">
        <v>29104391</v>
      </c>
      <c r="K163" s="35" t="s">
        <v>2438</v>
      </c>
      <c r="L163" s="35">
        <v>3447000</v>
      </c>
      <c r="M163" s="35" t="s">
        <v>3735</v>
      </c>
      <c r="N163" s="1" t="s">
        <v>4181</v>
      </c>
      <c r="O163" s="35">
        <v>3428</v>
      </c>
      <c r="P163" s="140">
        <v>43073</v>
      </c>
      <c r="Q163" s="140">
        <v>46724</v>
      </c>
      <c r="R163" s="62" t="s">
        <v>2440</v>
      </c>
      <c r="S163" s="141" t="s">
        <v>2441</v>
      </c>
      <c r="T163" s="142" t="s">
        <v>2444</v>
      </c>
      <c r="U163" s="138" t="s">
        <v>3281</v>
      </c>
      <c r="V163" s="138" t="s">
        <v>2324</v>
      </c>
      <c r="W163" s="69">
        <v>2555</v>
      </c>
      <c r="X163" s="143">
        <v>101639.59</v>
      </c>
      <c r="Y163" s="143">
        <v>88821.54</v>
      </c>
      <c r="Z163" s="69" t="s">
        <v>3753</v>
      </c>
      <c r="AA163" s="104">
        <v>43740</v>
      </c>
      <c r="AB163" s="147">
        <v>0.4201388888888889</v>
      </c>
      <c r="AC163" s="69"/>
      <c r="AD163" s="93"/>
      <c r="AE163" s="93"/>
      <c r="AF163" s="93"/>
      <c r="AG163" s="93"/>
      <c r="AH163" s="93"/>
      <c r="AI163" s="93"/>
      <c r="AJ163" s="93"/>
      <c r="AK163" s="93"/>
      <c r="AL163" s="93"/>
      <c r="AM163" s="117">
        <f t="shared" si="20"/>
        <v>0</v>
      </c>
      <c r="AN163" s="118">
        <f t="shared" si="21"/>
        <v>0</v>
      </c>
      <c r="AO163" s="82" t="s">
        <v>2456</v>
      </c>
    </row>
    <row r="164" spans="1:41" ht="12.75" hidden="1">
      <c r="A164" s="35">
        <v>111</v>
      </c>
      <c r="B164" s="35" t="s">
        <v>6</v>
      </c>
      <c r="C164" s="35" t="s">
        <v>6</v>
      </c>
      <c r="D164" s="82">
        <v>4</v>
      </c>
      <c r="E164" s="35" t="s">
        <v>2177</v>
      </c>
      <c r="F164" s="138" t="s">
        <v>2178</v>
      </c>
      <c r="G164" s="69" t="s">
        <v>2512</v>
      </c>
      <c r="H164" s="35" t="s">
        <v>4166</v>
      </c>
      <c r="I164" s="35" t="s">
        <v>4127</v>
      </c>
      <c r="J164" s="139">
        <v>29104391</v>
      </c>
      <c r="K164" s="35" t="s">
        <v>2438</v>
      </c>
      <c r="L164" s="35">
        <v>3447000</v>
      </c>
      <c r="M164" s="35" t="s">
        <v>3735</v>
      </c>
      <c r="N164" s="1" t="s">
        <v>4181</v>
      </c>
      <c r="O164" s="35">
        <v>3428</v>
      </c>
      <c r="P164" s="140">
        <v>43073</v>
      </c>
      <c r="Q164" s="140">
        <v>46724</v>
      </c>
      <c r="R164" s="62" t="s">
        <v>2440</v>
      </c>
      <c r="S164" s="35" t="s">
        <v>2442</v>
      </c>
      <c r="T164" s="142" t="s">
        <v>2444</v>
      </c>
      <c r="U164" s="138" t="s">
        <v>3282</v>
      </c>
      <c r="V164" s="138" t="s">
        <v>2179</v>
      </c>
      <c r="W164" s="69">
        <v>2555</v>
      </c>
      <c r="X164" s="143">
        <v>101641.13</v>
      </c>
      <c r="Y164" s="143">
        <v>88796.87</v>
      </c>
      <c r="Z164" s="69" t="s">
        <v>3741</v>
      </c>
      <c r="AA164" s="82"/>
      <c r="AB164" s="82"/>
      <c r="AC164" s="82"/>
      <c r="AD164" s="82"/>
      <c r="AE164" s="82"/>
      <c r="AF164" s="69"/>
      <c r="AG164" s="95"/>
      <c r="AH164" s="95"/>
      <c r="AI164" s="69"/>
      <c r="AJ164" s="35"/>
      <c r="AK164" s="35"/>
      <c r="AL164" s="35"/>
      <c r="AM164" s="145">
        <f t="shared" si="20"/>
        <v>0</v>
      </c>
      <c r="AN164" s="146">
        <f t="shared" si="21"/>
        <v>0</v>
      </c>
      <c r="AO164" s="82" t="s">
        <v>2456</v>
      </c>
    </row>
    <row r="165" spans="1:41" ht="44.25" customHeight="1">
      <c r="A165" s="35">
        <v>112</v>
      </c>
      <c r="B165" s="35" t="s">
        <v>6</v>
      </c>
      <c r="C165" s="35" t="s">
        <v>6</v>
      </c>
      <c r="D165" s="82">
        <v>4</v>
      </c>
      <c r="E165" s="35" t="s">
        <v>835</v>
      </c>
      <c r="F165" s="138" t="s">
        <v>2235</v>
      </c>
      <c r="G165" s="69" t="s">
        <v>2512</v>
      </c>
      <c r="H165" s="35" t="s">
        <v>4166</v>
      </c>
      <c r="I165" s="35" t="s">
        <v>4127</v>
      </c>
      <c r="J165" s="139">
        <v>29104391</v>
      </c>
      <c r="K165" s="35" t="s">
        <v>2438</v>
      </c>
      <c r="L165" s="35">
        <v>3447000</v>
      </c>
      <c r="M165" s="35" t="s">
        <v>3735</v>
      </c>
      <c r="N165" s="1" t="s">
        <v>4181</v>
      </c>
      <c r="O165" s="35">
        <v>3428</v>
      </c>
      <c r="P165" s="140">
        <v>43073</v>
      </c>
      <c r="Q165" s="140">
        <v>46724</v>
      </c>
      <c r="R165" s="62" t="s">
        <v>2440</v>
      </c>
      <c r="S165" s="141" t="s">
        <v>2441</v>
      </c>
      <c r="T165" s="142" t="s">
        <v>2444</v>
      </c>
      <c r="U165" s="138" t="s">
        <v>3283</v>
      </c>
      <c r="V165" s="138" t="s">
        <v>2323</v>
      </c>
      <c r="W165" s="69">
        <v>2555</v>
      </c>
      <c r="X165" s="143">
        <v>101652.19</v>
      </c>
      <c r="Y165" s="143">
        <v>88812.59</v>
      </c>
      <c r="Z165" s="2" t="s">
        <v>4046</v>
      </c>
      <c r="AA165" s="82"/>
      <c r="AB165" s="82"/>
      <c r="AC165" s="82"/>
      <c r="AD165" s="82"/>
      <c r="AE165" s="82"/>
      <c r="AF165" s="69"/>
      <c r="AG165" s="95"/>
      <c r="AH165" s="95"/>
      <c r="AI165" s="69"/>
      <c r="AJ165" s="35"/>
      <c r="AK165" s="35"/>
      <c r="AL165" s="35"/>
      <c r="AM165" s="117">
        <f>AVERAGE(AM166:AM167)</f>
        <v>824800.3371072001</v>
      </c>
      <c r="AN165" s="117">
        <f>AVERAGE(AN166:AN167)</f>
        <v>539184.2630399999</v>
      </c>
      <c r="AO165" s="159"/>
    </row>
    <row r="166" spans="1:41" ht="25.5" hidden="1">
      <c r="A166" s="35"/>
      <c r="B166" s="35"/>
      <c r="C166" s="35"/>
      <c r="D166" s="82"/>
      <c r="E166" s="35"/>
      <c r="F166" s="138"/>
      <c r="G166" s="69"/>
      <c r="H166" s="35"/>
      <c r="I166" s="35"/>
      <c r="J166" s="139"/>
      <c r="K166" s="35"/>
      <c r="L166" s="35"/>
      <c r="M166" s="35"/>
      <c r="N166" s="1" t="s">
        <v>4181</v>
      </c>
      <c r="O166" s="35"/>
      <c r="P166" s="140"/>
      <c r="Q166" s="140"/>
      <c r="R166" s="62"/>
      <c r="S166" s="141"/>
      <c r="T166" s="142"/>
      <c r="U166" s="138"/>
      <c r="V166" s="138"/>
      <c r="W166" s="69"/>
      <c r="X166" s="143"/>
      <c r="Y166" s="143"/>
      <c r="Z166" s="69" t="s">
        <v>3753</v>
      </c>
      <c r="AA166" s="104">
        <v>43740</v>
      </c>
      <c r="AB166" s="82" t="s">
        <v>3914</v>
      </c>
      <c r="AC166" s="82">
        <v>429</v>
      </c>
      <c r="AD166" s="82">
        <v>250</v>
      </c>
      <c r="AE166" s="82">
        <v>36.185</v>
      </c>
      <c r="AF166" s="69">
        <v>24</v>
      </c>
      <c r="AG166" s="95">
        <f>AE166*AC166*AF166*0.0036</f>
        <v>1341.218736</v>
      </c>
      <c r="AH166" s="95">
        <f>AE166*AD166*AF166*0.0036</f>
        <v>781.596</v>
      </c>
      <c r="AI166" s="69">
        <v>30</v>
      </c>
      <c r="AJ166" s="35">
        <v>12</v>
      </c>
      <c r="AK166" s="35">
        <v>0.54</v>
      </c>
      <c r="AL166" s="35">
        <v>0.48</v>
      </c>
      <c r="AM166" s="127">
        <f t="shared" si="20"/>
        <v>260732.92227840004</v>
      </c>
      <c r="AN166" s="128">
        <f t="shared" si="21"/>
        <v>135059.78879999998</v>
      </c>
      <c r="AO166" s="230" t="s">
        <v>2456</v>
      </c>
    </row>
    <row r="167" spans="1:41" ht="32.25" customHeight="1" hidden="1">
      <c r="A167" s="184"/>
      <c r="B167" s="184"/>
      <c r="C167" s="184"/>
      <c r="D167" s="93"/>
      <c r="E167" s="184"/>
      <c r="F167" s="193"/>
      <c r="G167" s="178"/>
      <c r="H167" s="184"/>
      <c r="I167" s="184"/>
      <c r="J167" s="187"/>
      <c r="K167" s="184"/>
      <c r="L167" s="184"/>
      <c r="M167" s="184"/>
      <c r="N167" s="1" t="s">
        <v>4181</v>
      </c>
      <c r="O167" s="184"/>
      <c r="P167" s="188"/>
      <c r="Q167" s="188"/>
      <c r="R167" s="185"/>
      <c r="S167" s="195"/>
      <c r="T167" s="186"/>
      <c r="U167" s="193"/>
      <c r="V167" s="193"/>
      <c r="W167" s="178"/>
      <c r="X167" s="189"/>
      <c r="Y167" s="189"/>
      <c r="Z167" s="69" t="s">
        <v>4019</v>
      </c>
      <c r="AA167" s="104">
        <v>43685</v>
      </c>
      <c r="AB167" s="82" t="s">
        <v>3915</v>
      </c>
      <c r="AC167" s="82">
        <v>428</v>
      </c>
      <c r="AD167" s="82">
        <v>273</v>
      </c>
      <c r="AE167" s="82">
        <v>96.6</v>
      </c>
      <c r="AF167" s="69">
        <v>24</v>
      </c>
      <c r="AG167" s="95">
        <f>AE167*AC167*AF167*0.0036</f>
        <v>3572.1907199999996</v>
      </c>
      <c r="AH167" s="95">
        <f>AE167*AD167*AF167*0.0036</f>
        <v>2278.5235199999997</v>
      </c>
      <c r="AI167" s="69">
        <v>30</v>
      </c>
      <c r="AJ167" s="35">
        <v>12</v>
      </c>
      <c r="AK167" s="35">
        <v>1.08</v>
      </c>
      <c r="AL167" s="35">
        <v>1.15</v>
      </c>
      <c r="AM167" s="127">
        <f>AG167*AI167*AJ167*AK167</f>
        <v>1388867.751936</v>
      </c>
      <c r="AN167" s="128">
        <f>AH167*AI167*AJ167*AL167</f>
        <v>943308.7372799998</v>
      </c>
      <c r="AO167" s="231"/>
    </row>
    <row r="168" spans="1:41" ht="12.75" hidden="1">
      <c r="A168" s="35">
        <v>113</v>
      </c>
      <c r="B168" s="35" t="s">
        <v>6</v>
      </c>
      <c r="C168" s="35" t="s">
        <v>6</v>
      </c>
      <c r="D168" s="82">
        <v>4</v>
      </c>
      <c r="E168" s="35" t="s">
        <v>2326</v>
      </c>
      <c r="F168" s="138" t="s">
        <v>2178</v>
      </c>
      <c r="G168" s="69" t="s">
        <v>2512</v>
      </c>
      <c r="H168" s="35" t="s">
        <v>4166</v>
      </c>
      <c r="I168" s="35" t="s">
        <v>4127</v>
      </c>
      <c r="J168" s="139">
        <v>29104391</v>
      </c>
      <c r="K168" s="35" t="s">
        <v>2438</v>
      </c>
      <c r="L168" s="35">
        <v>3447000</v>
      </c>
      <c r="M168" s="35" t="s">
        <v>3735</v>
      </c>
      <c r="N168" s="1" t="s">
        <v>4181</v>
      </c>
      <c r="O168" s="35">
        <v>3428</v>
      </c>
      <c r="P168" s="140">
        <v>43073</v>
      </c>
      <c r="Q168" s="140">
        <v>46724</v>
      </c>
      <c r="R168" s="62" t="s">
        <v>2440</v>
      </c>
      <c r="S168" s="141" t="s">
        <v>2441</v>
      </c>
      <c r="T168" s="142" t="s">
        <v>2443</v>
      </c>
      <c r="U168" s="138" t="s">
        <v>3284</v>
      </c>
      <c r="V168" s="138" t="s">
        <v>2180</v>
      </c>
      <c r="W168" s="69">
        <v>2555</v>
      </c>
      <c r="X168" s="143">
        <v>101656.49</v>
      </c>
      <c r="Y168" s="143">
        <v>88807.35</v>
      </c>
      <c r="Z168" s="69" t="s">
        <v>3741</v>
      </c>
      <c r="AA168" s="104"/>
      <c r="AB168" s="82"/>
      <c r="AC168" s="82"/>
      <c r="AD168" s="82"/>
      <c r="AE168" s="82"/>
      <c r="AF168" s="69"/>
      <c r="AG168" s="95"/>
      <c r="AH168" s="95"/>
      <c r="AI168" s="69"/>
      <c r="AJ168" s="35"/>
      <c r="AK168" s="35"/>
      <c r="AL168" s="35"/>
      <c r="AM168" s="145">
        <f t="shared" si="20"/>
        <v>0</v>
      </c>
      <c r="AN168" s="146">
        <f t="shared" si="21"/>
        <v>0</v>
      </c>
      <c r="AO168" s="82" t="s">
        <v>2456</v>
      </c>
    </row>
    <row r="169" spans="1:41" ht="25.5">
      <c r="A169" s="35">
        <v>114</v>
      </c>
      <c r="B169" s="35" t="s">
        <v>6</v>
      </c>
      <c r="C169" s="35" t="s">
        <v>6</v>
      </c>
      <c r="D169" s="82">
        <v>4</v>
      </c>
      <c r="E169" s="35" t="s">
        <v>2181</v>
      </c>
      <c r="F169" s="138" t="s">
        <v>2182</v>
      </c>
      <c r="G169" s="142" t="s">
        <v>2490</v>
      </c>
      <c r="H169" s="35" t="s">
        <v>4166</v>
      </c>
      <c r="I169" s="35" t="s">
        <v>4127</v>
      </c>
      <c r="J169" s="139">
        <v>29104391</v>
      </c>
      <c r="K169" s="35" t="s">
        <v>2438</v>
      </c>
      <c r="L169" s="35">
        <v>3447000</v>
      </c>
      <c r="M169" s="35" t="s">
        <v>3735</v>
      </c>
      <c r="N169" s="1" t="s">
        <v>4181</v>
      </c>
      <c r="O169" s="35">
        <v>3428</v>
      </c>
      <c r="P169" s="140">
        <v>43073</v>
      </c>
      <c r="Q169" s="140">
        <v>46724</v>
      </c>
      <c r="R169" s="62" t="s">
        <v>2440</v>
      </c>
      <c r="S169" s="141" t="s">
        <v>2441</v>
      </c>
      <c r="T169" s="142" t="s">
        <v>2444</v>
      </c>
      <c r="U169" s="138" t="s">
        <v>3285</v>
      </c>
      <c r="V169" s="138" t="s">
        <v>2183</v>
      </c>
      <c r="W169" s="138">
        <v>2553</v>
      </c>
      <c r="X169" s="143">
        <v>101709.96</v>
      </c>
      <c r="Y169" s="143">
        <v>88750</v>
      </c>
      <c r="Z169" s="69" t="s">
        <v>3753</v>
      </c>
      <c r="AA169" s="104">
        <v>43777</v>
      </c>
      <c r="AB169" s="82" t="s">
        <v>3898</v>
      </c>
      <c r="AC169" s="82">
        <v>302</v>
      </c>
      <c r="AD169" s="82">
        <v>192</v>
      </c>
      <c r="AE169" s="82">
        <v>2.478</v>
      </c>
      <c r="AF169" s="69">
        <v>24</v>
      </c>
      <c r="AG169" s="95">
        <f aca="true" t="shared" si="22" ref="AG169:AG174">AE169*AC169*AF169*0.0036</f>
        <v>64.6579584</v>
      </c>
      <c r="AH169" s="95">
        <f aca="true" t="shared" si="23" ref="AH169:AH174">AE169*AD169*AF169*0.0036</f>
        <v>41.1070464</v>
      </c>
      <c r="AI169" s="69">
        <v>30</v>
      </c>
      <c r="AJ169" s="35">
        <v>12</v>
      </c>
      <c r="AK169" s="35">
        <v>0.7</v>
      </c>
      <c r="AL169" s="35">
        <v>0.53</v>
      </c>
      <c r="AM169" s="117">
        <f t="shared" si="20"/>
        <v>16293.805516799997</v>
      </c>
      <c r="AN169" s="118">
        <f t="shared" si="21"/>
        <v>7843.224453120001</v>
      </c>
      <c r="AO169" s="82" t="s">
        <v>2495</v>
      </c>
    </row>
    <row r="170" spans="1:89" s="13" customFormat="1" ht="25.5">
      <c r="A170" s="35">
        <v>115</v>
      </c>
      <c r="B170" s="35" t="s">
        <v>6</v>
      </c>
      <c r="C170" s="35" t="s">
        <v>6</v>
      </c>
      <c r="D170" s="82">
        <v>4</v>
      </c>
      <c r="E170" s="35" t="s">
        <v>2184</v>
      </c>
      <c r="F170" s="138" t="s">
        <v>2185</v>
      </c>
      <c r="G170" s="142" t="s">
        <v>2490</v>
      </c>
      <c r="H170" s="35" t="s">
        <v>4166</v>
      </c>
      <c r="I170" s="35" t="s">
        <v>4127</v>
      </c>
      <c r="J170" s="139">
        <v>29104391</v>
      </c>
      <c r="K170" s="35" t="s">
        <v>2438</v>
      </c>
      <c r="L170" s="35">
        <v>3447000</v>
      </c>
      <c r="M170" s="35" t="s">
        <v>3735</v>
      </c>
      <c r="N170" s="1" t="s">
        <v>4181</v>
      </c>
      <c r="O170" s="35">
        <v>3428</v>
      </c>
      <c r="P170" s="140">
        <v>43073</v>
      </c>
      <c r="Q170" s="140">
        <v>46724</v>
      </c>
      <c r="R170" s="62" t="s">
        <v>2440</v>
      </c>
      <c r="S170" s="141" t="s">
        <v>2441</v>
      </c>
      <c r="T170" s="142" t="s">
        <v>2444</v>
      </c>
      <c r="U170" s="138" t="s">
        <v>3286</v>
      </c>
      <c r="V170" s="138" t="s">
        <v>2186</v>
      </c>
      <c r="W170" s="138">
        <v>2554</v>
      </c>
      <c r="X170" s="143">
        <v>101738.54</v>
      </c>
      <c r="Y170" s="143">
        <v>88708.99</v>
      </c>
      <c r="Z170" s="69" t="s">
        <v>3753</v>
      </c>
      <c r="AA170" s="104">
        <v>43777</v>
      </c>
      <c r="AB170" s="82" t="s">
        <v>3916</v>
      </c>
      <c r="AC170" s="82">
        <v>432</v>
      </c>
      <c r="AD170" s="82">
        <v>206</v>
      </c>
      <c r="AE170" s="82">
        <v>8.759</v>
      </c>
      <c r="AF170" s="69">
        <v>24</v>
      </c>
      <c r="AG170" s="95">
        <f t="shared" si="22"/>
        <v>326.9279232</v>
      </c>
      <c r="AH170" s="95">
        <f t="shared" si="23"/>
        <v>155.8961856</v>
      </c>
      <c r="AI170" s="69">
        <v>30</v>
      </c>
      <c r="AJ170" s="35">
        <v>12</v>
      </c>
      <c r="AK170" s="35">
        <v>0.7</v>
      </c>
      <c r="AL170" s="35">
        <v>0.53</v>
      </c>
      <c r="AM170" s="117">
        <f t="shared" si="20"/>
        <v>82385.8366464</v>
      </c>
      <c r="AN170" s="118">
        <f t="shared" si="21"/>
        <v>29744.99221248</v>
      </c>
      <c r="AO170" s="82" t="s">
        <v>2495</v>
      </c>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row>
    <row r="171" spans="1:41" ht="12.75" customHeight="1">
      <c r="A171" s="35">
        <v>116</v>
      </c>
      <c r="B171" s="35" t="s">
        <v>6</v>
      </c>
      <c r="C171" s="35" t="s">
        <v>6</v>
      </c>
      <c r="D171" s="82">
        <v>4</v>
      </c>
      <c r="E171" s="35" t="s">
        <v>827</v>
      </c>
      <c r="F171" s="138" t="s">
        <v>844</v>
      </c>
      <c r="G171" s="142" t="s">
        <v>2490</v>
      </c>
      <c r="H171" s="35" t="s">
        <v>4166</v>
      </c>
      <c r="I171" s="35" t="s">
        <v>4127</v>
      </c>
      <c r="J171" s="139">
        <v>29104391</v>
      </c>
      <c r="K171" s="35" t="s">
        <v>2438</v>
      </c>
      <c r="L171" s="35">
        <v>3447000</v>
      </c>
      <c r="M171" s="35" t="s">
        <v>3735</v>
      </c>
      <c r="N171" s="1" t="s">
        <v>4181</v>
      </c>
      <c r="O171" s="35">
        <v>3428</v>
      </c>
      <c r="P171" s="140">
        <v>43073</v>
      </c>
      <c r="Q171" s="140">
        <v>46724</v>
      </c>
      <c r="R171" s="62" t="s">
        <v>2440</v>
      </c>
      <c r="S171" s="141" t="s">
        <v>2441</v>
      </c>
      <c r="T171" s="142" t="s">
        <v>2444</v>
      </c>
      <c r="U171" s="138" t="s">
        <v>3287</v>
      </c>
      <c r="V171" s="138" t="s">
        <v>843</v>
      </c>
      <c r="W171" s="138">
        <v>2553</v>
      </c>
      <c r="X171" s="143">
        <v>101770.81</v>
      </c>
      <c r="Y171" s="143">
        <v>88664.59</v>
      </c>
      <c r="Z171" s="69" t="s">
        <v>3753</v>
      </c>
      <c r="AA171" s="104">
        <v>43777</v>
      </c>
      <c r="AB171" s="82" t="s">
        <v>3914</v>
      </c>
      <c r="AC171" s="82">
        <v>110</v>
      </c>
      <c r="AD171" s="82">
        <v>61</v>
      </c>
      <c r="AE171" s="82">
        <v>0.557</v>
      </c>
      <c r="AF171" s="69">
        <v>24</v>
      </c>
      <c r="AG171" s="95">
        <f t="shared" si="22"/>
        <v>5.293728</v>
      </c>
      <c r="AH171" s="95">
        <f t="shared" si="23"/>
        <v>2.9356128000000004</v>
      </c>
      <c r="AI171" s="69">
        <v>30</v>
      </c>
      <c r="AJ171" s="35">
        <v>12</v>
      </c>
      <c r="AK171" s="35">
        <v>0.7</v>
      </c>
      <c r="AL171" s="35">
        <v>0.53</v>
      </c>
      <c r="AM171" s="117">
        <f t="shared" si="20"/>
        <v>1334.019456</v>
      </c>
      <c r="AN171" s="118">
        <f t="shared" si="21"/>
        <v>560.11492224</v>
      </c>
      <c r="AO171" s="82" t="s">
        <v>2495</v>
      </c>
    </row>
    <row r="172" spans="1:41" ht="12.75" customHeight="1">
      <c r="A172" s="35">
        <v>117</v>
      </c>
      <c r="B172" s="35" t="s">
        <v>6</v>
      </c>
      <c r="C172" s="35" t="s">
        <v>6</v>
      </c>
      <c r="D172" s="82">
        <v>4</v>
      </c>
      <c r="E172" s="35" t="s">
        <v>826</v>
      </c>
      <c r="F172" s="138" t="s">
        <v>842</v>
      </c>
      <c r="G172" s="69" t="s">
        <v>2512</v>
      </c>
      <c r="H172" s="35" t="s">
        <v>4166</v>
      </c>
      <c r="I172" s="35" t="s">
        <v>4127</v>
      </c>
      <c r="J172" s="139">
        <v>29104391</v>
      </c>
      <c r="K172" s="35" t="s">
        <v>2438</v>
      </c>
      <c r="L172" s="35">
        <v>3447000</v>
      </c>
      <c r="M172" s="35" t="s">
        <v>3735</v>
      </c>
      <c r="N172" s="1" t="s">
        <v>4181</v>
      </c>
      <c r="O172" s="35">
        <v>3428</v>
      </c>
      <c r="P172" s="140">
        <v>43073</v>
      </c>
      <c r="Q172" s="140">
        <v>46724</v>
      </c>
      <c r="R172" s="62" t="s">
        <v>2440</v>
      </c>
      <c r="S172" s="35" t="s">
        <v>2442</v>
      </c>
      <c r="T172" s="142" t="s">
        <v>2444</v>
      </c>
      <c r="U172" s="138" t="s">
        <v>3288</v>
      </c>
      <c r="V172" s="138" t="s">
        <v>838</v>
      </c>
      <c r="W172" s="138">
        <v>2553</v>
      </c>
      <c r="X172" s="143">
        <v>101751.76</v>
      </c>
      <c r="Y172" s="143">
        <v>88655.65</v>
      </c>
      <c r="Z172" s="69" t="s">
        <v>3753</v>
      </c>
      <c r="AA172" s="104">
        <v>43777</v>
      </c>
      <c r="AB172" s="82" t="s">
        <v>2525</v>
      </c>
      <c r="AC172" s="82">
        <v>847</v>
      </c>
      <c r="AD172" s="82">
        <v>468</v>
      </c>
      <c r="AE172" s="82">
        <v>73.171</v>
      </c>
      <c r="AF172" s="69">
        <v>24</v>
      </c>
      <c r="AG172" s="95">
        <f t="shared" si="22"/>
        <v>5354.712316800001</v>
      </c>
      <c r="AH172" s="95">
        <f t="shared" si="23"/>
        <v>2958.6840192000004</v>
      </c>
      <c r="AI172" s="69">
        <v>30</v>
      </c>
      <c r="AJ172" s="35">
        <v>12</v>
      </c>
      <c r="AK172" s="35">
        <v>0.63</v>
      </c>
      <c r="AL172" s="35">
        <v>0.54</v>
      </c>
      <c r="AM172" s="117">
        <f t="shared" si="20"/>
        <v>1214448.7534502402</v>
      </c>
      <c r="AN172" s="118">
        <f t="shared" si="21"/>
        <v>575168.1733324801</v>
      </c>
      <c r="AO172" s="82" t="s">
        <v>2495</v>
      </c>
    </row>
    <row r="173" spans="1:41" ht="25.5">
      <c r="A173" s="35">
        <v>118</v>
      </c>
      <c r="B173" s="35" t="s">
        <v>6</v>
      </c>
      <c r="C173" s="35" t="s">
        <v>6</v>
      </c>
      <c r="D173" s="82">
        <v>4</v>
      </c>
      <c r="E173" s="35" t="s">
        <v>829</v>
      </c>
      <c r="F173" s="138" t="s">
        <v>846</v>
      </c>
      <c r="G173" s="142" t="s">
        <v>2490</v>
      </c>
      <c r="H173" s="35" t="s">
        <v>4166</v>
      </c>
      <c r="I173" s="35" t="s">
        <v>4127</v>
      </c>
      <c r="J173" s="139">
        <v>29104391</v>
      </c>
      <c r="K173" s="35" t="s">
        <v>2438</v>
      </c>
      <c r="L173" s="35">
        <v>3447000</v>
      </c>
      <c r="M173" s="35" t="s">
        <v>3735</v>
      </c>
      <c r="N173" s="1" t="s">
        <v>4181</v>
      </c>
      <c r="O173" s="35">
        <v>3428</v>
      </c>
      <c r="P173" s="140">
        <v>43073</v>
      </c>
      <c r="Q173" s="140">
        <v>46724</v>
      </c>
      <c r="R173" s="62" t="s">
        <v>2440</v>
      </c>
      <c r="S173" s="141" t="s">
        <v>2441</v>
      </c>
      <c r="T173" s="142" t="s">
        <v>2444</v>
      </c>
      <c r="U173" s="138" t="s">
        <v>3289</v>
      </c>
      <c r="V173" s="138" t="s">
        <v>845</v>
      </c>
      <c r="W173" s="138">
        <v>2552</v>
      </c>
      <c r="X173" s="143">
        <v>101799.39</v>
      </c>
      <c r="Y173" s="143">
        <v>88615.57</v>
      </c>
      <c r="Z173" s="69" t="s">
        <v>3753</v>
      </c>
      <c r="AA173" s="104">
        <v>43777</v>
      </c>
      <c r="AB173" s="82" t="s">
        <v>3739</v>
      </c>
      <c r="AC173" s="82">
        <v>459</v>
      </c>
      <c r="AD173" s="82">
        <v>272</v>
      </c>
      <c r="AE173" s="82">
        <v>0.813</v>
      </c>
      <c r="AF173" s="69">
        <v>24</v>
      </c>
      <c r="AG173" s="95">
        <f t="shared" si="22"/>
        <v>32.2416288</v>
      </c>
      <c r="AH173" s="95">
        <f t="shared" si="23"/>
        <v>19.1061504</v>
      </c>
      <c r="AI173" s="69">
        <v>30</v>
      </c>
      <c r="AJ173" s="35">
        <v>12</v>
      </c>
      <c r="AK173" s="35">
        <v>0.66</v>
      </c>
      <c r="AL173" s="35">
        <v>0.51</v>
      </c>
      <c r="AM173" s="117">
        <f t="shared" si="20"/>
        <v>7660.61100288</v>
      </c>
      <c r="AN173" s="118">
        <f t="shared" si="21"/>
        <v>3507.8892134400003</v>
      </c>
      <c r="AO173" s="82" t="s">
        <v>2495</v>
      </c>
    </row>
    <row r="174" spans="1:41" ht="25.5">
      <c r="A174" s="35">
        <v>119</v>
      </c>
      <c r="B174" s="35" t="s">
        <v>6</v>
      </c>
      <c r="C174" s="35" t="s">
        <v>6</v>
      </c>
      <c r="D174" s="82">
        <v>4</v>
      </c>
      <c r="E174" s="138" t="s">
        <v>847</v>
      </c>
      <c r="F174" s="138" t="s">
        <v>858</v>
      </c>
      <c r="G174" s="142" t="s">
        <v>2490</v>
      </c>
      <c r="H174" s="35" t="s">
        <v>4166</v>
      </c>
      <c r="I174" s="35" t="s">
        <v>4127</v>
      </c>
      <c r="J174" s="139">
        <v>29104391</v>
      </c>
      <c r="K174" s="35" t="s">
        <v>2438</v>
      </c>
      <c r="L174" s="35">
        <v>3447000</v>
      </c>
      <c r="M174" s="35" t="s">
        <v>3735</v>
      </c>
      <c r="N174" s="1" t="s">
        <v>4181</v>
      </c>
      <c r="O174" s="35">
        <v>3428</v>
      </c>
      <c r="P174" s="140">
        <v>43073</v>
      </c>
      <c r="Q174" s="140">
        <v>46724</v>
      </c>
      <c r="R174" s="62" t="s">
        <v>2440</v>
      </c>
      <c r="S174" s="141" t="s">
        <v>2441</v>
      </c>
      <c r="T174" s="142" t="s">
        <v>2444</v>
      </c>
      <c r="U174" s="160" t="s">
        <v>854</v>
      </c>
      <c r="V174" s="35" t="s">
        <v>855</v>
      </c>
      <c r="W174" s="138">
        <v>2552</v>
      </c>
      <c r="X174" s="143">
        <v>101832.27</v>
      </c>
      <c r="Y174" s="143">
        <v>88543.1</v>
      </c>
      <c r="Z174" s="69" t="s">
        <v>3753</v>
      </c>
      <c r="AA174" s="104">
        <v>43777</v>
      </c>
      <c r="AB174" s="82" t="s">
        <v>3917</v>
      </c>
      <c r="AC174" s="82">
        <v>478</v>
      </c>
      <c r="AD174" s="82">
        <v>288</v>
      </c>
      <c r="AE174" s="82">
        <v>10.433</v>
      </c>
      <c r="AF174" s="69">
        <v>24</v>
      </c>
      <c r="AG174" s="95">
        <f t="shared" si="22"/>
        <v>430.8745536</v>
      </c>
      <c r="AH174" s="95">
        <f t="shared" si="23"/>
        <v>259.60642559999997</v>
      </c>
      <c r="AI174" s="69">
        <v>30</v>
      </c>
      <c r="AJ174" s="35">
        <v>12</v>
      </c>
      <c r="AK174" s="35">
        <v>0.54</v>
      </c>
      <c r="AL174" s="35">
        <v>0.52</v>
      </c>
      <c r="AM174" s="117">
        <f>AG174*AI174*AJ174*AK174</f>
        <v>83762.01321984001</v>
      </c>
      <c r="AN174" s="118">
        <f>AH174*AI174*AJ174*AL174</f>
        <v>48598.32287231999</v>
      </c>
      <c r="AO174" s="82" t="s">
        <v>2456</v>
      </c>
    </row>
    <row r="175" spans="1:41" ht="12.75" hidden="1">
      <c r="A175" s="35">
        <v>120</v>
      </c>
      <c r="B175" s="35" t="s">
        <v>6</v>
      </c>
      <c r="C175" s="35" t="s">
        <v>6</v>
      </c>
      <c r="D175" s="82">
        <v>4</v>
      </c>
      <c r="E175" s="35" t="s">
        <v>848</v>
      </c>
      <c r="F175" s="138" t="s">
        <v>856</v>
      </c>
      <c r="G175" s="69" t="s">
        <v>2512</v>
      </c>
      <c r="H175" s="35" t="s">
        <v>4166</v>
      </c>
      <c r="I175" s="35" t="s">
        <v>4127</v>
      </c>
      <c r="J175" s="139">
        <v>29104391</v>
      </c>
      <c r="K175" s="35" t="s">
        <v>2438</v>
      </c>
      <c r="L175" s="35">
        <v>3447000</v>
      </c>
      <c r="M175" s="35" t="s">
        <v>3735</v>
      </c>
      <c r="N175" s="1" t="s">
        <v>4181</v>
      </c>
      <c r="O175" s="35">
        <v>3428</v>
      </c>
      <c r="P175" s="140">
        <v>43073</v>
      </c>
      <c r="Q175" s="140">
        <v>46724</v>
      </c>
      <c r="R175" s="62" t="s">
        <v>2440</v>
      </c>
      <c r="S175" s="35" t="s">
        <v>2442</v>
      </c>
      <c r="T175" s="142" t="s">
        <v>2444</v>
      </c>
      <c r="U175" s="138" t="s">
        <v>3290</v>
      </c>
      <c r="V175" s="138" t="s">
        <v>851</v>
      </c>
      <c r="W175" s="138">
        <v>2552</v>
      </c>
      <c r="X175" s="143">
        <v>101810.15</v>
      </c>
      <c r="Y175" s="143">
        <v>88532.62</v>
      </c>
      <c r="Z175" s="69" t="s">
        <v>3741</v>
      </c>
      <c r="AA175" s="82"/>
      <c r="AB175" s="82"/>
      <c r="AC175" s="82"/>
      <c r="AD175" s="82"/>
      <c r="AE175" s="82"/>
      <c r="AF175" s="69"/>
      <c r="AG175" s="95"/>
      <c r="AH175" s="95"/>
      <c r="AI175" s="69"/>
      <c r="AJ175" s="35"/>
      <c r="AK175" s="35"/>
      <c r="AL175" s="35"/>
      <c r="AM175" s="145">
        <f t="shared" si="20"/>
        <v>0</v>
      </c>
      <c r="AN175" s="146">
        <f t="shared" si="21"/>
        <v>0</v>
      </c>
      <c r="AO175" s="82" t="s">
        <v>2456</v>
      </c>
    </row>
    <row r="176" spans="1:41" ht="38.25">
      <c r="A176" s="35">
        <v>121</v>
      </c>
      <c r="B176" s="35" t="s">
        <v>6</v>
      </c>
      <c r="C176" s="35" t="s">
        <v>6</v>
      </c>
      <c r="D176" s="82">
        <v>4</v>
      </c>
      <c r="E176" s="35" t="s">
        <v>849</v>
      </c>
      <c r="F176" s="138" t="s">
        <v>857</v>
      </c>
      <c r="G176" s="142" t="s">
        <v>2490</v>
      </c>
      <c r="H176" s="35" t="s">
        <v>4166</v>
      </c>
      <c r="I176" s="35" t="s">
        <v>4127</v>
      </c>
      <c r="J176" s="139">
        <v>29104391</v>
      </c>
      <c r="K176" s="35" t="s">
        <v>2438</v>
      </c>
      <c r="L176" s="35">
        <v>3447000</v>
      </c>
      <c r="M176" s="35" t="s">
        <v>3735</v>
      </c>
      <c r="N176" s="1" t="s">
        <v>4181</v>
      </c>
      <c r="O176" s="35">
        <v>3428</v>
      </c>
      <c r="P176" s="140">
        <v>43073</v>
      </c>
      <c r="Q176" s="140">
        <v>46724</v>
      </c>
      <c r="R176" s="62" t="s">
        <v>2440</v>
      </c>
      <c r="S176" s="141" t="s">
        <v>2441</v>
      </c>
      <c r="T176" s="142" t="s">
        <v>2444</v>
      </c>
      <c r="U176" s="138" t="s">
        <v>3291</v>
      </c>
      <c r="V176" s="138" t="s">
        <v>852</v>
      </c>
      <c r="W176" s="138">
        <v>2554</v>
      </c>
      <c r="X176" s="143">
        <v>101918.32</v>
      </c>
      <c r="Y176" s="143">
        <v>88482.98</v>
      </c>
      <c r="Z176" s="69" t="s">
        <v>3918</v>
      </c>
      <c r="AA176" s="104">
        <v>43777</v>
      </c>
      <c r="AB176" s="135">
        <v>0.40069444444444446</v>
      </c>
      <c r="AC176" s="93"/>
      <c r="AD176" s="93"/>
      <c r="AE176" s="93"/>
      <c r="AF176" s="93"/>
      <c r="AG176" s="93"/>
      <c r="AH176" s="93"/>
      <c r="AI176" s="93"/>
      <c r="AJ176" s="93"/>
      <c r="AK176" s="93"/>
      <c r="AL176" s="93"/>
      <c r="AM176" s="117">
        <f t="shared" si="20"/>
        <v>0</v>
      </c>
      <c r="AN176" s="118">
        <f t="shared" si="21"/>
        <v>0</v>
      </c>
      <c r="AO176" s="82" t="s">
        <v>2456</v>
      </c>
    </row>
    <row r="177" spans="1:41" ht="25.5">
      <c r="A177" s="35">
        <v>122</v>
      </c>
      <c r="B177" s="35" t="s">
        <v>6</v>
      </c>
      <c r="C177" s="35" t="s">
        <v>6</v>
      </c>
      <c r="D177" s="82">
        <v>4</v>
      </c>
      <c r="E177" s="35" t="s">
        <v>850</v>
      </c>
      <c r="F177" s="138" t="s">
        <v>857</v>
      </c>
      <c r="G177" s="142" t="s">
        <v>2490</v>
      </c>
      <c r="H177" s="35" t="s">
        <v>4166</v>
      </c>
      <c r="I177" s="35" t="s">
        <v>4127</v>
      </c>
      <c r="J177" s="139">
        <v>29104391</v>
      </c>
      <c r="K177" s="35" t="s">
        <v>2438</v>
      </c>
      <c r="L177" s="35">
        <v>3447000</v>
      </c>
      <c r="M177" s="35" t="s">
        <v>3735</v>
      </c>
      <c r="N177" s="1" t="s">
        <v>4181</v>
      </c>
      <c r="O177" s="35">
        <v>3428</v>
      </c>
      <c r="P177" s="140">
        <v>43073</v>
      </c>
      <c r="Q177" s="140">
        <v>46724</v>
      </c>
      <c r="R177" s="62" t="s">
        <v>2440</v>
      </c>
      <c r="S177" s="141" t="s">
        <v>2441</v>
      </c>
      <c r="T177" s="142" t="s">
        <v>2444</v>
      </c>
      <c r="U177" s="138" t="s">
        <v>3292</v>
      </c>
      <c r="V177" s="138" t="s">
        <v>853</v>
      </c>
      <c r="W177" s="138">
        <v>2554</v>
      </c>
      <c r="X177" s="143">
        <v>101921.7</v>
      </c>
      <c r="Y177" s="143">
        <v>88481.44</v>
      </c>
      <c r="Z177" s="69" t="s">
        <v>3753</v>
      </c>
      <c r="AA177" s="104">
        <v>43777</v>
      </c>
      <c r="AB177" s="82" t="s">
        <v>2528</v>
      </c>
      <c r="AC177" s="82">
        <v>436</v>
      </c>
      <c r="AD177" s="82">
        <v>232</v>
      </c>
      <c r="AE177" s="82">
        <v>5.809</v>
      </c>
      <c r="AF177" s="69">
        <v>24</v>
      </c>
      <c r="AG177" s="95">
        <f>AE177*AC177*AF177*0.0036</f>
        <v>218.8273536</v>
      </c>
      <c r="AH177" s="95">
        <f>AE177*AD177*AF177*0.0036</f>
        <v>116.44024320000001</v>
      </c>
      <c r="AI177" s="69">
        <v>30</v>
      </c>
      <c r="AJ177" s="35">
        <v>12</v>
      </c>
      <c r="AK177" s="35">
        <v>0.61</v>
      </c>
      <c r="AL177" s="35">
        <v>0.62</v>
      </c>
      <c r="AM177" s="117">
        <f t="shared" si="20"/>
        <v>48054.486850559995</v>
      </c>
      <c r="AN177" s="118">
        <f t="shared" si="21"/>
        <v>25989.462282240005</v>
      </c>
      <c r="AO177" s="82" t="s">
        <v>2456</v>
      </c>
    </row>
    <row r="178" spans="1:41" ht="25.5">
      <c r="A178" s="35">
        <v>123</v>
      </c>
      <c r="B178" s="35" t="s">
        <v>6</v>
      </c>
      <c r="C178" s="35" t="s">
        <v>6</v>
      </c>
      <c r="D178" s="82">
        <v>4</v>
      </c>
      <c r="E178" s="35" t="s">
        <v>822</v>
      </c>
      <c r="F178" s="69" t="s">
        <v>860</v>
      </c>
      <c r="G178" s="69" t="s">
        <v>2512</v>
      </c>
      <c r="H178" s="35" t="s">
        <v>4166</v>
      </c>
      <c r="I178" s="35" t="s">
        <v>4127</v>
      </c>
      <c r="J178" s="139">
        <v>29104391</v>
      </c>
      <c r="K178" s="35" t="s">
        <v>2438</v>
      </c>
      <c r="L178" s="35">
        <v>3447000</v>
      </c>
      <c r="M178" s="35" t="s">
        <v>3735</v>
      </c>
      <c r="N178" s="1" t="s">
        <v>4181</v>
      </c>
      <c r="O178" s="35">
        <v>3428</v>
      </c>
      <c r="P178" s="140">
        <v>43073</v>
      </c>
      <c r="Q178" s="140">
        <v>46724</v>
      </c>
      <c r="R178" s="62" t="s">
        <v>2440</v>
      </c>
      <c r="S178" s="35" t="s">
        <v>2442</v>
      </c>
      <c r="T178" s="142" t="s">
        <v>2444</v>
      </c>
      <c r="U178" s="142" t="s">
        <v>3293</v>
      </c>
      <c r="V178" s="142" t="s">
        <v>859</v>
      </c>
      <c r="W178" s="142">
        <v>2551</v>
      </c>
      <c r="X178" s="143">
        <v>102122.37</v>
      </c>
      <c r="Y178" s="143">
        <v>88284.72</v>
      </c>
      <c r="Z178" s="69" t="s">
        <v>3753</v>
      </c>
      <c r="AA178" s="104">
        <v>43775</v>
      </c>
      <c r="AB178" s="82" t="s">
        <v>3900</v>
      </c>
      <c r="AC178" s="82">
        <v>307</v>
      </c>
      <c r="AD178" s="82">
        <v>676</v>
      </c>
      <c r="AE178" s="82">
        <v>73.631</v>
      </c>
      <c r="AF178" s="69">
        <v>24</v>
      </c>
      <c r="AG178" s="95">
        <f>AE178*AC178*AF178*0.0036</f>
        <v>1953.0475488</v>
      </c>
      <c r="AH178" s="95">
        <f>AE178*AD178*AF178*0.0036</f>
        <v>4300.5216384000005</v>
      </c>
      <c r="AI178" s="69">
        <v>30</v>
      </c>
      <c r="AJ178" s="35">
        <v>12</v>
      </c>
      <c r="AK178" s="35">
        <v>0.61</v>
      </c>
      <c r="AL178" s="35">
        <v>0.62</v>
      </c>
      <c r="AM178" s="117">
        <f>AG178*AI178*AJ178*AK178</f>
        <v>428889.24171648</v>
      </c>
      <c r="AN178" s="118">
        <f>AH178*AI178*AJ178*AL178</f>
        <v>959876.42969088</v>
      </c>
      <c r="AO178" s="82" t="s">
        <v>2456</v>
      </c>
    </row>
    <row r="179" spans="1:41" ht="12.75" hidden="1">
      <c r="A179" s="35">
        <v>124</v>
      </c>
      <c r="B179" s="35" t="s">
        <v>6</v>
      </c>
      <c r="C179" s="35" t="s">
        <v>6</v>
      </c>
      <c r="D179" s="82">
        <v>4</v>
      </c>
      <c r="E179" s="35" t="s">
        <v>2187</v>
      </c>
      <c r="F179" s="69" t="s">
        <v>2188</v>
      </c>
      <c r="G179" s="69" t="s">
        <v>2512</v>
      </c>
      <c r="H179" s="35" t="s">
        <v>4166</v>
      </c>
      <c r="I179" s="35" t="s">
        <v>4127</v>
      </c>
      <c r="J179" s="139">
        <v>29104391</v>
      </c>
      <c r="K179" s="35" t="s">
        <v>2438</v>
      </c>
      <c r="L179" s="35">
        <v>3447000</v>
      </c>
      <c r="M179" s="35" t="s">
        <v>3735</v>
      </c>
      <c r="N179" s="1" t="s">
        <v>4181</v>
      </c>
      <c r="O179" s="35">
        <v>3428</v>
      </c>
      <c r="P179" s="140">
        <v>43073</v>
      </c>
      <c r="Q179" s="140">
        <v>46724</v>
      </c>
      <c r="R179" s="62" t="s">
        <v>2440</v>
      </c>
      <c r="S179" s="35" t="s">
        <v>2442</v>
      </c>
      <c r="T179" s="142" t="s">
        <v>2443</v>
      </c>
      <c r="U179" s="142" t="s">
        <v>3294</v>
      </c>
      <c r="V179" s="142" t="s">
        <v>2189</v>
      </c>
      <c r="W179" s="142">
        <v>2550</v>
      </c>
      <c r="X179" s="143">
        <v>101893.16</v>
      </c>
      <c r="Y179" s="143">
        <v>87793.2</v>
      </c>
      <c r="Z179" s="69" t="s">
        <v>3741</v>
      </c>
      <c r="AA179" s="82"/>
      <c r="AB179" s="82"/>
      <c r="AC179" s="82"/>
      <c r="AD179" s="82"/>
      <c r="AE179" s="82"/>
      <c r="AF179" s="69"/>
      <c r="AG179" s="95"/>
      <c r="AH179" s="95"/>
      <c r="AI179" s="69"/>
      <c r="AJ179" s="35"/>
      <c r="AK179" s="35"/>
      <c r="AL179" s="35"/>
      <c r="AM179" s="145">
        <f t="shared" si="20"/>
        <v>0</v>
      </c>
      <c r="AN179" s="146">
        <f t="shared" si="21"/>
        <v>0</v>
      </c>
      <c r="AO179" s="82" t="s">
        <v>2456</v>
      </c>
    </row>
    <row r="180" spans="1:41" ht="25.5">
      <c r="A180" s="35">
        <v>125</v>
      </c>
      <c r="B180" s="35" t="s">
        <v>6</v>
      </c>
      <c r="C180" s="35" t="s">
        <v>6</v>
      </c>
      <c r="D180" s="82">
        <v>4</v>
      </c>
      <c r="E180" s="69" t="s">
        <v>825</v>
      </c>
      <c r="F180" s="69" t="s">
        <v>861</v>
      </c>
      <c r="G180" s="69" t="s">
        <v>2512</v>
      </c>
      <c r="H180" s="35" t="s">
        <v>4166</v>
      </c>
      <c r="I180" s="35" t="s">
        <v>4127</v>
      </c>
      <c r="J180" s="139">
        <v>29104391</v>
      </c>
      <c r="K180" s="35" t="s">
        <v>2438</v>
      </c>
      <c r="L180" s="35">
        <v>3447000</v>
      </c>
      <c r="M180" s="35" t="s">
        <v>3735</v>
      </c>
      <c r="N180" s="1" t="s">
        <v>4181</v>
      </c>
      <c r="O180" s="35">
        <v>3428</v>
      </c>
      <c r="P180" s="140">
        <v>43073</v>
      </c>
      <c r="Q180" s="140">
        <v>46724</v>
      </c>
      <c r="R180" s="62" t="s">
        <v>2440</v>
      </c>
      <c r="S180" s="35" t="s">
        <v>2442</v>
      </c>
      <c r="T180" s="142" t="s">
        <v>2444</v>
      </c>
      <c r="U180" s="82" t="s">
        <v>41</v>
      </c>
      <c r="V180" s="82" t="s">
        <v>3295</v>
      </c>
      <c r="W180" s="142">
        <v>2550</v>
      </c>
      <c r="X180" s="143">
        <v>101892.24</v>
      </c>
      <c r="Y180" s="143">
        <v>87790.12</v>
      </c>
      <c r="Z180" s="69" t="s">
        <v>3753</v>
      </c>
      <c r="AA180" s="104">
        <v>43775</v>
      </c>
      <c r="AB180" s="82" t="s">
        <v>3738</v>
      </c>
      <c r="AC180" s="82">
        <v>735</v>
      </c>
      <c r="AD180" s="82">
        <v>360</v>
      </c>
      <c r="AE180" s="82">
        <v>61.729</v>
      </c>
      <c r="AF180" s="69">
        <v>24</v>
      </c>
      <c r="AG180" s="95">
        <f>AE180*AC180*AF180*0.0036</f>
        <v>3920.038416</v>
      </c>
      <c r="AH180" s="95">
        <f>AE180*AD180*AF180*0.0036</f>
        <v>1920.0188159999998</v>
      </c>
      <c r="AI180" s="69">
        <v>30</v>
      </c>
      <c r="AJ180" s="35">
        <v>12</v>
      </c>
      <c r="AK180" s="35">
        <v>0.56</v>
      </c>
      <c r="AL180" s="35">
        <v>0.49</v>
      </c>
      <c r="AM180" s="117">
        <f t="shared" si="20"/>
        <v>790279.7446656</v>
      </c>
      <c r="AN180" s="118">
        <f t="shared" si="21"/>
        <v>338691.31914239994</v>
      </c>
      <c r="AO180" s="82" t="s">
        <v>2456</v>
      </c>
    </row>
    <row r="181" spans="1:41" ht="40.5" customHeight="1">
      <c r="A181" s="35">
        <v>126</v>
      </c>
      <c r="B181" s="35" t="s">
        <v>6</v>
      </c>
      <c r="C181" s="35" t="s">
        <v>6</v>
      </c>
      <c r="D181" s="82">
        <v>4</v>
      </c>
      <c r="E181" s="69" t="s">
        <v>2190</v>
      </c>
      <c r="F181" s="69" t="s">
        <v>2191</v>
      </c>
      <c r="G181" s="69" t="s">
        <v>2512</v>
      </c>
      <c r="H181" s="35" t="s">
        <v>4166</v>
      </c>
      <c r="I181" s="35" t="s">
        <v>4127</v>
      </c>
      <c r="J181" s="139">
        <v>29104391</v>
      </c>
      <c r="K181" s="35" t="s">
        <v>2438</v>
      </c>
      <c r="L181" s="35">
        <v>3447000</v>
      </c>
      <c r="M181" s="35" t="s">
        <v>3735</v>
      </c>
      <c r="N181" s="1" t="s">
        <v>4181</v>
      </c>
      <c r="O181" s="35">
        <v>3428</v>
      </c>
      <c r="P181" s="140">
        <v>43073</v>
      </c>
      <c r="Q181" s="140">
        <v>46724</v>
      </c>
      <c r="R181" s="62" t="s">
        <v>2440</v>
      </c>
      <c r="S181" s="35" t="s">
        <v>2442</v>
      </c>
      <c r="T181" s="142" t="s">
        <v>2444</v>
      </c>
      <c r="U181" s="82" t="s">
        <v>3296</v>
      </c>
      <c r="V181" s="82" t="s">
        <v>2192</v>
      </c>
      <c r="W181" s="142">
        <v>2551</v>
      </c>
      <c r="X181" s="143">
        <v>101816.34</v>
      </c>
      <c r="Y181" s="143">
        <v>87709.94</v>
      </c>
      <c r="Z181" s="69" t="s">
        <v>3804</v>
      </c>
      <c r="AA181" s="104">
        <v>43775</v>
      </c>
      <c r="AB181" s="135">
        <v>0.5416666666666666</v>
      </c>
      <c r="AC181" s="69"/>
      <c r="AD181" s="93"/>
      <c r="AE181" s="93"/>
      <c r="AF181" s="93"/>
      <c r="AG181" s="93"/>
      <c r="AH181" s="93"/>
      <c r="AI181" s="93"/>
      <c r="AJ181" s="93"/>
      <c r="AK181" s="93"/>
      <c r="AL181" s="93"/>
      <c r="AM181" s="117">
        <f t="shared" si="20"/>
        <v>0</v>
      </c>
      <c r="AN181" s="118">
        <f t="shared" si="21"/>
        <v>0</v>
      </c>
      <c r="AO181" s="82" t="s">
        <v>2456</v>
      </c>
    </row>
    <row r="182" spans="1:41" ht="12.75" hidden="1">
      <c r="A182" s="35">
        <v>127</v>
      </c>
      <c r="B182" s="35" t="s">
        <v>6</v>
      </c>
      <c r="C182" s="35" t="s">
        <v>6</v>
      </c>
      <c r="D182" s="82">
        <v>4</v>
      </c>
      <c r="E182" s="35" t="s">
        <v>2193</v>
      </c>
      <c r="F182" s="69" t="s">
        <v>2194</v>
      </c>
      <c r="G182" s="69" t="s">
        <v>2512</v>
      </c>
      <c r="H182" s="35" t="s">
        <v>4166</v>
      </c>
      <c r="I182" s="35" t="s">
        <v>4127</v>
      </c>
      <c r="J182" s="139">
        <v>29104391</v>
      </c>
      <c r="K182" s="35" t="s">
        <v>2438</v>
      </c>
      <c r="L182" s="35">
        <v>3447000</v>
      </c>
      <c r="M182" s="35" t="s">
        <v>3735</v>
      </c>
      <c r="N182" s="1" t="s">
        <v>4181</v>
      </c>
      <c r="O182" s="35">
        <v>3428</v>
      </c>
      <c r="P182" s="140">
        <v>43073</v>
      </c>
      <c r="Q182" s="140">
        <v>46724</v>
      </c>
      <c r="R182" s="62" t="s">
        <v>2440</v>
      </c>
      <c r="S182" s="35" t="s">
        <v>2442</v>
      </c>
      <c r="T182" s="142" t="s">
        <v>2443</v>
      </c>
      <c r="U182" s="142" t="s">
        <v>3297</v>
      </c>
      <c r="V182" s="142" t="s">
        <v>2195</v>
      </c>
      <c r="W182" s="142">
        <v>2551</v>
      </c>
      <c r="X182" s="143">
        <v>101835.7</v>
      </c>
      <c r="Y182" s="143">
        <v>87650.13</v>
      </c>
      <c r="Z182" s="69" t="s">
        <v>3741</v>
      </c>
      <c r="AA182" s="82"/>
      <c r="AB182" s="82"/>
      <c r="AC182" s="82"/>
      <c r="AD182" s="82"/>
      <c r="AE182" s="82"/>
      <c r="AF182" s="69"/>
      <c r="AG182" s="95"/>
      <c r="AH182" s="95"/>
      <c r="AI182" s="69"/>
      <c r="AJ182" s="35"/>
      <c r="AK182" s="35"/>
      <c r="AL182" s="35"/>
      <c r="AM182" s="145">
        <f t="shared" si="20"/>
        <v>0</v>
      </c>
      <c r="AN182" s="146">
        <f t="shared" si="21"/>
        <v>0</v>
      </c>
      <c r="AO182" s="82" t="s">
        <v>2456</v>
      </c>
    </row>
    <row r="183" spans="1:41" ht="33" customHeight="1">
      <c r="A183" s="35">
        <v>128</v>
      </c>
      <c r="B183" s="35" t="s">
        <v>6</v>
      </c>
      <c r="C183" s="35" t="s">
        <v>6</v>
      </c>
      <c r="D183" s="82">
        <v>4</v>
      </c>
      <c r="E183" s="69" t="s">
        <v>823</v>
      </c>
      <c r="F183" s="69" t="s">
        <v>862</v>
      </c>
      <c r="G183" s="69" t="s">
        <v>2512</v>
      </c>
      <c r="H183" s="35" t="s">
        <v>4166</v>
      </c>
      <c r="I183" s="35" t="s">
        <v>4127</v>
      </c>
      <c r="J183" s="139">
        <v>29104391</v>
      </c>
      <c r="K183" s="35" t="s">
        <v>2438</v>
      </c>
      <c r="L183" s="35">
        <v>3447000</v>
      </c>
      <c r="M183" s="35" t="s">
        <v>3735</v>
      </c>
      <c r="N183" s="1" t="s">
        <v>4181</v>
      </c>
      <c r="O183" s="35">
        <v>3428</v>
      </c>
      <c r="P183" s="140">
        <v>43073</v>
      </c>
      <c r="Q183" s="140">
        <v>46724</v>
      </c>
      <c r="R183" s="62" t="s">
        <v>2440</v>
      </c>
      <c r="S183" s="35" t="s">
        <v>2442</v>
      </c>
      <c r="T183" s="142" t="s">
        <v>2444</v>
      </c>
      <c r="U183" s="82" t="s">
        <v>3298</v>
      </c>
      <c r="V183" s="82" t="s">
        <v>3299</v>
      </c>
      <c r="W183" s="82">
        <v>2547</v>
      </c>
      <c r="X183" s="143">
        <v>103017.1</v>
      </c>
      <c r="Y183" s="143">
        <v>85592.3</v>
      </c>
      <c r="Z183" s="2" t="s">
        <v>4046</v>
      </c>
      <c r="AA183" s="82"/>
      <c r="AB183" s="82"/>
      <c r="AC183" s="82"/>
      <c r="AD183" s="82"/>
      <c r="AE183" s="82"/>
      <c r="AF183" s="69"/>
      <c r="AG183" s="95"/>
      <c r="AH183" s="95"/>
      <c r="AI183" s="69"/>
      <c r="AJ183" s="35"/>
      <c r="AK183" s="35"/>
      <c r="AL183" s="35"/>
      <c r="AM183" s="117">
        <f>AVERAGE(AM184:AM185)</f>
        <v>3398300.0267903996</v>
      </c>
      <c r="AN183" s="117">
        <f>AVERAGE(AN184:AN185)</f>
        <v>2081286.4649379838</v>
      </c>
      <c r="AO183" s="82" t="s">
        <v>2495</v>
      </c>
    </row>
    <row r="184" spans="1:41" ht="25.5">
      <c r="A184" s="184"/>
      <c r="B184" s="184"/>
      <c r="C184" s="184"/>
      <c r="D184" s="93"/>
      <c r="E184" s="178"/>
      <c r="F184" s="178"/>
      <c r="G184" s="178"/>
      <c r="H184" s="184"/>
      <c r="I184" s="184"/>
      <c r="J184" s="187"/>
      <c r="K184" s="184"/>
      <c r="L184" s="184"/>
      <c r="M184" s="184"/>
      <c r="N184" s="184"/>
      <c r="O184" s="184"/>
      <c r="P184" s="188"/>
      <c r="Q184" s="188"/>
      <c r="R184" s="185"/>
      <c r="S184" s="184"/>
      <c r="T184" s="186"/>
      <c r="U184" s="93"/>
      <c r="V184" s="93"/>
      <c r="W184" s="93"/>
      <c r="X184" s="189"/>
      <c r="Y184" s="189"/>
      <c r="Z184" s="69" t="s">
        <v>3753</v>
      </c>
      <c r="AA184" s="161">
        <v>43636</v>
      </c>
      <c r="AB184" s="82" t="s">
        <v>2531</v>
      </c>
      <c r="AC184" s="82">
        <v>477</v>
      </c>
      <c r="AD184" s="82">
        <v>368</v>
      </c>
      <c r="AE184" s="82">
        <f>((302.61+301.527+300.736+301.822+300.013)/5)</f>
        <v>301.34159999999997</v>
      </c>
      <c r="AF184" s="69">
        <v>24</v>
      </c>
      <c r="AG184" s="95">
        <f>AE184*AC184*AF184*0.0036</f>
        <v>12419.131092479998</v>
      </c>
      <c r="AH184" s="95">
        <f>AE184*AD184*AF184*0.0036</f>
        <v>9581.216440319999</v>
      </c>
      <c r="AI184" s="69">
        <v>30</v>
      </c>
      <c r="AJ184" s="35">
        <v>12</v>
      </c>
      <c r="AK184" s="35">
        <v>0.75</v>
      </c>
      <c r="AL184" s="35">
        <v>0.59</v>
      </c>
      <c r="AM184" s="127">
        <f t="shared" si="20"/>
        <v>3353165.3949695993</v>
      </c>
      <c r="AN184" s="128">
        <f t="shared" si="21"/>
        <v>2035050.3719239677</v>
      </c>
      <c r="AO184" s="93"/>
    </row>
    <row r="185" spans="1:41" ht="40.5" customHeight="1">
      <c r="A185" s="184"/>
      <c r="B185" s="184"/>
      <c r="C185" s="184"/>
      <c r="D185" s="93"/>
      <c r="E185" s="178"/>
      <c r="F185" s="178"/>
      <c r="G185" s="178"/>
      <c r="H185" s="184"/>
      <c r="I185" s="184"/>
      <c r="J185" s="187"/>
      <c r="K185" s="184"/>
      <c r="L185" s="184"/>
      <c r="M185" s="184"/>
      <c r="N185" s="184"/>
      <c r="O185" s="184"/>
      <c r="P185" s="188"/>
      <c r="Q185" s="188"/>
      <c r="R185" s="185"/>
      <c r="S185" s="184"/>
      <c r="T185" s="186"/>
      <c r="U185" s="93"/>
      <c r="V185" s="93"/>
      <c r="W185" s="93"/>
      <c r="X185" s="189"/>
      <c r="Y185" s="189"/>
      <c r="Z185" s="69" t="s">
        <v>4020</v>
      </c>
      <c r="AA185" s="161">
        <v>43656</v>
      </c>
      <c r="AB185" s="82" t="s">
        <v>3919</v>
      </c>
      <c r="AC185" s="82">
        <v>418</v>
      </c>
      <c r="AD185" s="82">
        <v>330</v>
      </c>
      <c r="AE185" s="82">
        <v>383.84</v>
      </c>
      <c r="AF185" s="69">
        <v>24</v>
      </c>
      <c r="AG185" s="95">
        <f>AE185*AC185*AF185*0.0036</f>
        <v>13862.458368</v>
      </c>
      <c r="AH185" s="95">
        <f>AE185*AD185*AF185*0.0036</f>
        <v>10944.046079999998</v>
      </c>
      <c r="AI185" s="69">
        <v>30</v>
      </c>
      <c r="AJ185" s="35">
        <v>12</v>
      </c>
      <c r="AK185" s="35">
        <v>0.69</v>
      </c>
      <c r="AL185" s="35">
        <v>0.54</v>
      </c>
      <c r="AM185" s="127">
        <f>AG185*AI185*AJ185*AK185</f>
        <v>3443434.6586112</v>
      </c>
      <c r="AN185" s="128">
        <f>AH185*AI185*AJ185*AL185</f>
        <v>2127522.557952</v>
      </c>
      <c r="AO185" s="93"/>
    </row>
    <row r="186" spans="1:41" ht="30.75" customHeight="1">
      <c r="A186" s="35">
        <v>129</v>
      </c>
      <c r="B186" s="35" t="s">
        <v>6</v>
      </c>
      <c r="C186" s="35" t="s">
        <v>6</v>
      </c>
      <c r="D186" s="82">
        <v>4</v>
      </c>
      <c r="E186" s="69" t="s">
        <v>824</v>
      </c>
      <c r="F186" s="69" t="s">
        <v>863</v>
      </c>
      <c r="G186" s="69" t="s">
        <v>2512</v>
      </c>
      <c r="H186" s="35" t="s">
        <v>4166</v>
      </c>
      <c r="I186" s="35" t="s">
        <v>4127</v>
      </c>
      <c r="J186" s="139">
        <v>29104391</v>
      </c>
      <c r="K186" s="35" t="s">
        <v>2438</v>
      </c>
      <c r="L186" s="35">
        <v>3447000</v>
      </c>
      <c r="M186" s="35" t="s">
        <v>3735</v>
      </c>
      <c r="N186" s="1" t="s">
        <v>4181</v>
      </c>
      <c r="O186" s="35">
        <v>3428</v>
      </c>
      <c r="P186" s="140">
        <v>43073</v>
      </c>
      <c r="Q186" s="140">
        <v>46724</v>
      </c>
      <c r="R186" s="62" t="s">
        <v>2440</v>
      </c>
      <c r="S186" s="35" t="s">
        <v>2442</v>
      </c>
      <c r="T186" s="142" t="s">
        <v>2444</v>
      </c>
      <c r="U186" s="82" t="s">
        <v>3300</v>
      </c>
      <c r="V186" s="82" t="s">
        <v>3301</v>
      </c>
      <c r="W186" s="82">
        <v>2546</v>
      </c>
      <c r="X186" s="143">
        <v>103075.8</v>
      </c>
      <c r="Y186" s="143">
        <v>85495.8</v>
      </c>
      <c r="Z186" s="69" t="s">
        <v>3753</v>
      </c>
      <c r="AA186" s="161" t="s">
        <v>3920</v>
      </c>
      <c r="AB186" s="82" t="s">
        <v>2536</v>
      </c>
      <c r="AC186" s="82">
        <v>309</v>
      </c>
      <c r="AD186" s="82">
        <v>186</v>
      </c>
      <c r="AE186" s="82">
        <v>294.037</v>
      </c>
      <c r="AF186" s="69">
        <v>24</v>
      </c>
      <c r="AG186" s="95">
        <f>AE186*AC186*AF186*0.0036</f>
        <v>7850.0822112</v>
      </c>
      <c r="AH186" s="95">
        <f>AE186*AD186*AF186*0.0036</f>
        <v>4725.2922048</v>
      </c>
      <c r="AI186" s="69">
        <v>30</v>
      </c>
      <c r="AJ186" s="35">
        <v>12</v>
      </c>
      <c r="AK186" s="35">
        <v>1</v>
      </c>
      <c r="AL186" s="35">
        <v>1</v>
      </c>
      <c r="AM186" s="117">
        <f>AG186*AI186*AJ186*AK186</f>
        <v>2826029.5960319997</v>
      </c>
      <c r="AN186" s="118">
        <f>AH186*AI186*AJ186*AL186</f>
        <v>1701105.193728</v>
      </c>
      <c r="AO186" s="82" t="s">
        <v>2495</v>
      </c>
    </row>
    <row r="187" spans="1:41" ht="39.75" customHeight="1">
      <c r="A187" s="35">
        <v>130</v>
      </c>
      <c r="B187" s="35" t="s">
        <v>6</v>
      </c>
      <c r="C187" s="35" t="s">
        <v>6</v>
      </c>
      <c r="D187" s="82">
        <v>4</v>
      </c>
      <c r="E187" s="69" t="s">
        <v>2253</v>
      </c>
      <c r="F187" s="69" t="s">
        <v>864</v>
      </c>
      <c r="G187" s="69" t="s">
        <v>2512</v>
      </c>
      <c r="H187" s="35" t="s">
        <v>4166</v>
      </c>
      <c r="I187" s="35" t="s">
        <v>4127</v>
      </c>
      <c r="J187" s="139">
        <v>29104391</v>
      </c>
      <c r="K187" s="35" t="s">
        <v>2438</v>
      </c>
      <c r="L187" s="35">
        <v>3447000</v>
      </c>
      <c r="M187" s="35" t="s">
        <v>3735</v>
      </c>
      <c r="N187" s="1" t="s">
        <v>4181</v>
      </c>
      <c r="O187" s="35">
        <v>3428</v>
      </c>
      <c r="P187" s="140">
        <v>43073</v>
      </c>
      <c r="Q187" s="140">
        <v>46724</v>
      </c>
      <c r="R187" s="62" t="s">
        <v>2440</v>
      </c>
      <c r="S187" s="35" t="s">
        <v>2442</v>
      </c>
      <c r="T187" s="142" t="s">
        <v>2444</v>
      </c>
      <c r="U187" s="82" t="s">
        <v>42</v>
      </c>
      <c r="V187" s="82" t="s">
        <v>3302</v>
      </c>
      <c r="W187" s="82">
        <v>2555</v>
      </c>
      <c r="X187" s="143">
        <v>102253.26</v>
      </c>
      <c r="Y187" s="143">
        <v>84529.67</v>
      </c>
      <c r="Z187" s="69" t="s">
        <v>3753</v>
      </c>
      <c r="AA187" s="161" t="s">
        <v>3921</v>
      </c>
      <c r="AB187" s="82" t="s">
        <v>2536</v>
      </c>
      <c r="AC187" s="82">
        <v>308</v>
      </c>
      <c r="AD187" s="82">
        <v>624</v>
      </c>
      <c r="AE187" s="82">
        <f>(306.05+397.849+396.467+360.588+526.672+542.478+535.453)/7</f>
        <v>437.93671428571423</v>
      </c>
      <c r="AF187" s="69">
        <v>24</v>
      </c>
      <c r="AG187" s="95">
        <f>AE187*AC187*AF187*0.0036</f>
        <v>11654.021491199997</v>
      </c>
      <c r="AH187" s="95">
        <f>AE187*AD187*AF187*0.0036</f>
        <v>23610.744839314284</v>
      </c>
      <c r="AI187" s="69">
        <v>30</v>
      </c>
      <c r="AJ187" s="35">
        <v>12</v>
      </c>
      <c r="AK187" s="35">
        <v>1</v>
      </c>
      <c r="AL187" s="35">
        <v>1</v>
      </c>
      <c r="AM187" s="117">
        <f>AG187*AI187*AJ187*AK187</f>
        <v>4195447.736831999</v>
      </c>
      <c r="AN187" s="118">
        <f>AH187*AI187*AJ187*AL187</f>
        <v>8499868.142153144</v>
      </c>
      <c r="AO187" s="82" t="s">
        <v>2495</v>
      </c>
    </row>
    <row r="188" spans="1:41" ht="12.75">
      <c r="A188" s="226" t="s">
        <v>2414</v>
      </c>
      <c r="B188" s="226"/>
      <c r="C188" s="226"/>
      <c r="D188" s="226"/>
      <c r="E188" s="226"/>
      <c r="F188" s="226"/>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6"/>
      <c r="AK188" s="226"/>
      <c r="AL188" s="226"/>
      <c r="AM188" s="121">
        <f>AM74+AM78+AM79+AM80+AM82+AM83+AM85+AM86+AM88+AM89+AM91+AM105+AM106+AM107+AM108+AM110+AM111+AM114+AM115+AM116+AM120+AM122+AM123+AM126+AM127+AM130+AM133+AM134+AM135+AM138+AM139+AM140+AM141+AM144+AM145+AM146+AM148+AM149+AM151+AM152+AM153+AM154+AM156+AM159+AM160+AM163+AM165+AM169+AM170+AM171+AM172+AM173+AM174+AM176+AM177+AM178+AM180+AM181+AM183+AM186+AM187</f>
        <v>37148628.54814236</v>
      </c>
      <c r="AN188" s="121">
        <f>AN74+AN78+AN79+AN80+AN82+AN83+AN85+AN86+AN88+AN89+AN91+AN105+AN106+AN107+AN108+AN110+AN111+AN114+AN115+AN116+AN120+AN122+AN123+AN126+AN127+AN130+AN133+AN134+AN135+AN138+AN139+AN140+AN141+AN144+AN145+AN146+AN148+AN149+AN151+AN152+AN153+AN154+AN156+AN159+AN160+AN163+AN165+AN169+AN170+AN171+AN172+AN173+AN174+AN176+AN177+AN178+AN180+AN181+AN183+AN186+AN187</f>
        <v>35516483.97747092</v>
      </c>
      <c r="AO188" s="82"/>
    </row>
    <row r="189" spans="1:41" ht="12.75">
      <c r="A189" s="227" t="s">
        <v>2415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81">
        <f>SUM(AM74:AM187)-AM75-AM76-AM92-SUM(AM93:AM104)-AM118-AM119-AM124-AM125-AM128-AM129-AM157-AM158-AM161-AM162-AM166-AM167-AM184-AM185</f>
        <v>37358131.40435023</v>
      </c>
      <c r="AN189" s="81">
        <f>SUM(AN74:AN187)-AN75-AN76-AN92-SUM(AN93:AN104)-AN118-AN119-AN124-AN125-AN128-AN129-AN157-AN158-AN161-AN162-AN166-AN167-AN184-AN185</f>
        <v>35636367.377531946</v>
      </c>
      <c r="AO189" s="82"/>
    </row>
    <row r="199" ht="12.75"/>
    <row r="200" ht="12.75"/>
    <row r="201" ht="12.75"/>
    <row r="202" ht="12.75"/>
    <row r="203" ht="12.75"/>
    <row r="204" ht="12.75"/>
    <row r="205" ht="12.75"/>
  </sheetData>
  <sheetProtection/>
  <mergeCells count="60">
    <mergeCell ref="AO166:AO167"/>
    <mergeCell ref="A188:AL188"/>
    <mergeCell ref="A189:AL189"/>
    <mergeCell ref="F1:F2"/>
    <mergeCell ref="G1:G2"/>
    <mergeCell ref="H1:H2"/>
    <mergeCell ref="A1:A2"/>
    <mergeCell ref="B1:B2"/>
    <mergeCell ref="C1:C2"/>
    <mergeCell ref="D1:D2"/>
    <mergeCell ref="AO128:AO129"/>
    <mergeCell ref="T1:T2"/>
    <mergeCell ref="W1:W2"/>
    <mergeCell ref="U1:V1"/>
    <mergeCell ref="X1:Y1"/>
    <mergeCell ref="Z1:Z2"/>
    <mergeCell ref="N1:Q1"/>
    <mergeCell ref="R1:R2"/>
    <mergeCell ref="S1:S2"/>
    <mergeCell ref="AO1:AO2"/>
    <mergeCell ref="AN1:AN2"/>
    <mergeCell ref="E1:E2"/>
    <mergeCell ref="I1:I2"/>
    <mergeCell ref="J1:J2"/>
    <mergeCell ref="K1:K2"/>
    <mergeCell ref="A19:AL19"/>
    <mergeCell ref="A20:AL20"/>
    <mergeCell ref="A21:AL21"/>
    <mergeCell ref="AA1:AA2"/>
    <mergeCell ref="AB1:AB2"/>
    <mergeCell ref="AM1:AM2"/>
    <mergeCell ref="AE1:AE2"/>
    <mergeCell ref="AF1:AF2"/>
    <mergeCell ref="L1:L2"/>
    <mergeCell ref="M1:M2"/>
    <mergeCell ref="A22:AL22"/>
    <mergeCell ref="A26:AL26"/>
    <mergeCell ref="AI1:AI2"/>
    <mergeCell ref="AJ1:AJ2"/>
    <mergeCell ref="AK1:AK2"/>
    <mergeCell ref="AL1:AL2"/>
    <mergeCell ref="AG1:AG2"/>
    <mergeCell ref="AH1:AH2"/>
    <mergeCell ref="AC1:AC2"/>
    <mergeCell ref="AD1:AD2"/>
    <mergeCell ref="A27:AL27"/>
    <mergeCell ref="A28:AL28"/>
    <mergeCell ref="A29:AL29"/>
    <mergeCell ref="A62:AL62"/>
    <mergeCell ref="A63:AL63"/>
    <mergeCell ref="A64:AL64"/>
    <mergeCell ref="A71:AL71"/>
    <mergeCell ref="A72:AL72"/>
    <mergeCell ref="A73:AL73"/>
    <mergeCell ref="A65:AL65"/>
    <mergeCell ref="A66:AL66"/>
    <mergeCell ref="A67:AL67"/>
    <mergeCell ref="A68:AL68"/>
    <mergeCell ref="A69:AL69"/>
    <mergeCell ref="A70:AL70"/>
  </mergeCells>
  <printOptions/>
  <pageMargins left="0.7" right="0.7" top="0.75" bottom="0.75" header="0.3" footer="0.3"/>
  <pageSetup horizontalDpi="1200" verticalDpi="1200" orientation="portrait" r:id="rId3"/>
  <ignoredErrors>
    <ignoredError sqref="AM52:AN52 AM55:AN55 AM127:AN127 AM156:AN156 AM160:AN160 AM165:AN165 AM183:AN183 AM93:AN93 AM91:AN91 AM117:AN117 AM123:AN123" formula="1"/>
  </ignoredErrors>
  <legacyDrawing r:id="rId2"/>
</worksheet>
</file>

<file path=xl/worksheets/sheet8.xml><?xml version="1.0" encoding="utf-8"?>
<worksheet xmlns="http://schemas.openxmlformats.org/spreadsheetml/2006/main" xmlns:r="http://schemas.openxmlformats.org/officeDocument/2006/relationships">
  <dimension ref="A1:AP312"/>
  <sheetViews>
    <sheetView zoomScale="70" zoomScaleNormal="70" zoomScalePageLayoutView="0" workbookViewId="0" topLeftCell="B1">
      <pane xSplit="5" ySplit="2" topLeftCell="I304" activePane="bottomRight" state="frozen"/>
      <selection pane="topLeft" activeCell="B1" sqref="B1"/>
      <selection pane="topRight" activeCell="G1" sqref="G1"/>
      <selection pane="bottomLeft" activeCell="B3" sqref="B3"/>
      <selection pane="bottomRight" activeCell="O310" sqref="O310:O311"/>
    </sheetView>
  </sheetViews>
  <sheetFormatPr defaultColWidth="11.421875" defaultRowHeight="15"/>
  <cols>
    <col min="1" max="1" width="11.421875" style="65" customWidth="1"/>
    <col min="2" max="2" width="9.28125" style="65" customWidth="1"/>
    <col min="3" max="3" width="14.7109375" style="65" customWidth="1"/>
    <col min="4" max="4" width="19.57421875" style="65" customWidth="1"/>
    <col min="5" max="5" width="16.28125" style="65" customWidth="1"/>
    <col min="6" max="6" width="26.28125" style="65" customWidth="1"/>
    <col min="7" max="7" width="33.57421875" style="65" bestFit="1" customWidth="1"/>
    <col min="8" max="8" width="12.7109375" style="65" customWidth="1"/>
    <col min="9" max="9" width="15.28125" style="65" customWidth="1"/>
    <col min="10" max="10" width="19.7109375" style="65" bestFit="1" customWidth="1"/>
    <col min="11" max="11" width="17.421875" style="65" bestFit="1" customWidth="1"/>
    <col min="12" max="12" width="11.00390625" style="65" bestFit="1" customWidth="1"/>
    <col min="13" max="13" width="7.57421875" style="65" bestFit="1" customWidth="1"/>
    <col min="14" max="14" width="14.421875" style="65" bestFit="1" customWidth="1"/>
    <col min="15" max="15" width="6.7109375" style="65" bestFit="1" customWidth="1"/>
    <col min="16" max="16" width="9.57421875" style="65" bestFit="1" customWidth="1"/>
    <col min="17" max="17" width="10.00390625" style="65" bestFit="1" customWidth="1"/>
    <col min="18" max="18" width="10.28125" style="65" bestFit="1" customWidth="1"/>
    <col min="19" max="19" width="15.57421875" style="65" bestFit="1" customWidth="1"/>
    <col min="20" max="20" width="7.28125" style="65" bestFit="1" customWidth="1"/>
    <col min="21" max="21" width="20.140625" style="65" bestFit="1" customWidth="1"/>
    <col min="22" max="23" width="16.8515625" style="65" customWidth="1"/>
    <col min="24" max="24" width="9.421875" style="65" customWidth="1"/>
    <col min="25" max="25" width="10.421875" style="65" customWidth="1"/>
    <col min="26" max="26" width="11.140625" style="65" customWidth="1"/>
    <col min="27" max="27" width="63.28125" style="65" customWidth="1"/>
    <col min="28" max="28" width="15.7109375" style="65" bestFit="1" customWidth="1"/>
    <col min="29" max="29" width="14.7109375" style="65" bestFit="1" customWidth="1"/>
    <col min="30" max="39" width="11.421875" style="65" customWidth="1"/>
    <col min="40" max="41" width="25.7109375" style="65" bestFit="1" customWidth="1"/>
    <col min="42" max="16384" width="11.421875" style="65" customWidth="1"/>
  </cols>
  <sheetData>
    <row r="1" spans="1:42" ht="12.75" customHeight="1">
      <c r="A1" s="217" t="s">
        <v>0</v>
      </c>
      <c r="B1" s="217" t="s">
        <v>0</v>
      </c>
      <c r="C1" s="217" t="s">
        <v>2307</v>
      </c>
      <c r="D1" s="217" t="s">
        <v>84</v>
      </c>
      <c r="E1" s="217" t="s">
        <v>85</v>
      </c>
      <c r="F1" s="217" t="s">
        <v>2416</v>
      </c>
      <c r="G1" s="217" t="s">
        <v>87</v>
      </c>
      <c r="H1" s="217" t="s">
        <v>2417</v>
      </c>
      <c r="I1" s="217" t="s">
        <v>2418</v>
      </c>
      <c r="J1" s="217" t="s">
        <v>2419</v>
      </c>
      <c r="K1" s="223" t="s">
        <v>2420</v>
      </c>
      <c r="L1" s="217" t="s">
        <v>2421</v>
      </c>
      <c r="M1" s="217" t="s">
        <v>2422</v>
      </c>
      <c r="N1" s="217" t="s">
        <v>2423</v>
      </c>
      <c r="O1" s="217" t="s">
        <v>2424</v>
      </c>
      <c r="P1" s="217"/>
      <c r="Q1" s="217"/>
      <c r="R1" s="217"/>
      <c r="S1" s="217" t="s">
        <v>2429</v>
      </c>
      <c r="T1" s="217" t="s">
        <v>2430</v>
      </c>
      <c r="U1" s="217" t="s">
        <v>2431</v>
      </c>
      <c r="V1" s="217" t="s">
        <v>1</v>
      </c>
      <c r="W1" s="217"/>
      <c r="X1" s="217" t="s">
        <v>2432</v>
      </c>
      <c r="Y1" s="217" t="s">
        <v>2433</v>
      </c>
      <c r="Z1" s="217"/>
      <c r="AA1" s="217" t="s">
        <v>2401</v>
      </c>
      <c r="AB1" s="217" t="s">
        <v>2402</v>
      </c>
      <c r="AC1" s="217" t="s">
        <v>2403</v>
      </c>
      <c r="AD1" s="217" t="s">
        <v>2386</v>
      </c>
      <c r="AE1" s="217" t="s">
        <v>2387</v>
      </c>
      <c r="AF1" s="217" t="s">
        <v>2388</v>
      </c>
      <c r="AG1" s="217" t="s">
        <v>2389</v>
      </c>
      <c r="AH1" s="217" t="s">
        <v>2390</v>
      </c>
      <c r="AI1" s="217" t="s">
        <v>2391</v>
      </c>
      <c r="AJ1" s="217" t="s">
        <v>2392</v>
      </c>
      <c r="AK1" s="217" t="s">
        <v>2393</v>
      </c>
      <c r="AL1" s="217" t="s">
        <v>2394</v>
      </c>
      <c r="AM1" s="217" t="s">
        <v>2395</v>
      </c>
      <c r="AN1" s="220" t="s">
        <v>4179</v>
      </c>
      <c r="AO1" s="220" t="s">
        <v>4180</v>
      </c>
      <c r="AP1" s="217" t="s">
        <v>2398</v>
      </c>
    </row>
    <row r="2" spans="1:42" ht="48" customHeight="1">
      <c r="A2" s="217"/>
      <c r="B2" s="217"/>
      <c r="C2" s="217"/>
      <c r="D2" s="217"/>
      <c r="E2" s="217"/>
      <c r="F2" s="217"/>
      <c r="G2" s="217"/>
      <c r="H2" s="217"/>
      <c r="I2" s="217"/>
      <c r="J2" s="217"/>
      <c r="K2" s="223"/>
      <c r="L2" s="217"/>
      <c r="M2" s="217"/>
      <c r="N2" s="217"/>
      <c r="O2" s="91" t="s">
        <v>2425</v>
      </c>
      <c r="P2" s="91" t="s">
        <v>2426</v>
      </c>
      <c r="Q2" s="91" t="s">
        <v>2427</v>
      </c>
      <c r="R2" s="91" t="s">
        <v>2428</v>
      </c>
      <c r="S2" s="217"/>
      <c r="T2" s="217"/>
      <c r="U2" s="217"/>
      <c r="V2" s="91" t="s">
        <v>2399</v>
      </c>
      <c r="W2" s="91" t="s">
        <v>2400</v>
      </c>
      <c r="X2" s="217"/>
      <c r="Y2" s="91" t="s">
        <v>2434</v>
      </c>
      <c r="Z2" s="91" t="s">
        <v>2435</v>
      </c>
      <c r="AA2" s="217"/>
      <c r="AB2" s="217"/>
      <c r="AC2" s="217"/>
      <c r="AD2" s="217"/>
      <c r="AE2" s="217"/>
      <c r="AF2" s="217"/>
      <c r="AG2" s="217"/>
      <c r="AH2" s="217"/>
      <c r="AI2" s="217"/>
      <c r="AJ2" s="217"/>
      <c r="AK2" s="217"/>
      <c r="AL2" s="217"/>
      <c r="AM2" s="217"/>
      <c r="AN2" s="220"/>
      <c r="AO2" s="220"/>
      <c r="AP2" s="217"/>
    </row>
    <row r="3" spans="1:42" ht="12.75">
      <c r="A3" s="2">
        <v>1</v>
      </c>
      <c r="B3" s="2">
        <v>1</v>
      </c>
      <c r="C3" s="2" t="s">
        <v>1292</v>
      </c>
      <c r="D3" s="2" t="s">
        <v>6</v>
      </c>
      <c r="E3" s="2">
        <v>1</v>
      </c>
      <c r="F3" s="2" t="s">
        <v>1293</v>
      </c>
      <c r="G3" s="2" t="s">
        <v>1294</v>
      </c>
      <c r="H3" s="2" t="s">
        <v>2508</v>
      </c>
      <c r="I3" s="1" t="s">
        <v>4166</v>
      </c>
      <c r="J3" s="1" t="s">
        <v>4127</v>
      </c>
      <c r="K3" s="63">
        <v>29104391</v>
      </c>
      <c r="L3" s="1" t="s">
        <v>2438</v>
      </c>
      <c r="M3" s="1">
        <v>3447000</v>
      </c>
      <c r="N3" s="1" t="s">
        <v>3735</v>
      </c>
      <c r="O3" s="1" t="s">
        <v>4181</v>
      </c>
      <c r="P3" s="1">
        <v>3428</v>
      </c>
      <c r="Q3" s="64">
        <v>43073</v>
      </c>
      <c r="R3" s="64">
        <v>46724</v>
      </c>
      <c r="S3" s="62" t="s">
        <v>2440</v>
      </c>
      <c r="T3" s="30" t="s">
        <v>2436</v>
      </c>
      <c r="U3" s="9" t="s">
        <v>2443</v>
      </c>
      <c r="V3" s="2" t="s">
        <v>3303</v>
      </c>
      <c r="W3" s="2" t="s">
        <v>3304</v>
      </c>
      <c r="X3" s="2">
        <v>2815</v>
      </c>
      <c r="Y3" s="60">
        <v>88875.831</v>
      </c>
      <c r="Z3" s="60">
        <v>96649.998</v>
      </c>
      <c r="AA3" s="2" t="s">
        <v>3741</v>
      </c>
      <c r="AB3" s="66"/>
      <c r="AC3" s="66"/>
      <c r="AD3" s="66"/>
      <c r="AE3" s="66"/>
      <c r="AF3" s="66"/>
      <c r="AG3" s="66"/>
      <c r="AH3" s="43"/>
      <c r="AI3" s="43"/>
      <c r="AJ3" s="2"/>
      <c r="AK3" s="1"/>
      <c r="AL3" s="1"/>
      <c r="AM3" s="1"/>
      <c r="AN3" s="44">
        <f>AH3*AJ3*AK3*AL3</f>
        <v>0</v>
      </c>
      <c r="AO3" s="45">
        <f>AI3*AJ3*AK3*AM3</f>
        <v>0</v>
      </c>
      <c r="AP3" s="2"/>
    </row>
    <row r="4" spans="1:42" ht="48" customHeight="1">
      <c r="A4" s="2">
        <v>2</v>
      </c>
      <c r="B4" s="2">
        <v>2</v>
      </c>
      <c r="C4" s="2" t="s">
        <v>1292</v>
      </c>
      <c r="D4" s="2" t="s">
        <v>6</v>
      </c>
      <c r="E4" s="2">
        <v>1</v>
      </c>
      <c r="F4" s="2" t="s">
        <v>1295</v>
      </c>
      <c r="G4" s="2" t="s">
        <v>1294</v>
      </c>
      <c r="H4" s="2" t="s">
        <v>2508</v>
      </c>
      <c r="I4" s="1" t="s">
        <v>4166</v>
      </c>
      <c r="J4" s="1" t="s">
        <v>4127</v>
      </c>
      <c r="K4" s="63">
        <v>29104391</v>
      </c>
      <c r="L4" s="1" t="s">
        <v>2438</v>
      </c>
      <c r="M4" s="1">
        <v>3447000</v>
      </c>
      <c r="N4" s="1" t="s">
        <v>3735</v>
      </c>
      <c r="O4" s="1" t="s">
        <v>4181</v>
      </c>
      <c r="P4" s="1">
        <v>3428</v>
      </c>
      <c r="Q4" s="64">
        <v>43073</v>
      </c>
      <c r="R4" s="64">
        <v>46724</v>
      </c>
      <c r="S4" s="62" t="s">
        <v>2440</v>
      </c>
      <c r="T4" s="62" t="s">
        <v>2441</v>
      </c>
      <c r="U4" s="9" t="s">
        <v>2444</v>
      </c>
      <c r="V4" s="2" t="s">
        <v>3305</v>
      </c>
      <c r="W4" s="2" t="s">
        <v>3306</v>
      </c>
      <c r="X4" s="2">
        <v>2815</v>
      </c>
      <c r="Y4" s="60">
        <v>88882.89</v>
      </c>
      <c r="Z4" s="60">
        <v>96648.14</v>
      </c>
      <c r="AA4" s="2" t="s">
        <v>4096</v>
      </c>
      <c r="AB4" s="83">
        <v>43767</v>
      </c>
      <c r="AC4" s="13" t="s">
        <v>3803</v>
      </c>
      <c r="AD4" s="2">
        <v>64</v>
      </c>
      <c r="AE4" s="2">
        <v>355</v>
      </c>
      <c r="AF4" s="2">
        <v>7.4940000000000015</v>
      </c>
      <c r="AG4" s="2">
        <v>24</v>
      </c>
      <c r="AH4" s="102">
        <f>AF4*AD4*AG4*0.0036</f>
        <v>41.438822400000014</v>
      </c>
      <c r="AI4" s="102">
        <f>AF4*AE4*AG4*0.0036</f>
        <v>229.85596800000002</v>
      </c>
      <c r="AJ4" s="2">
        <v>30</v>
      </c>
      <c r="AK4" s="1">
        <v>12</v>
      </c>
      <c r="AL4" s="1">
        <v>0.63</v>
      </c>
      <c r="AM4" s="1">
        <v>0.68</v>
      </c>
      <c r="AN4" s="44">
        <f>AH4*AJ4*AK4*AL4</f>
        <v>9398.324920320003</v>
      </c>
      <c r="AO4" s="45">
        <f>AI4*AJ4*AK4*AM4</f>
        <v>56268.74096640001</v>
      </c>
      <c r="AP4" s="2" t="s">
        <v>2405</v>
      </c>
    </row>
    <row r="5" spans="1:42" ht="12.75">
      <c r="A5" s="2">
        <v>3</v>
      </c>
      <c r="B5" s="2">
        <v>3</v>
      </c>
      <c r="C5" s="2" t="s">
        <v>1292</v>
      </c>
      <c r="D5" s="2" t="s">
        <v>6</v>
      </c>
      <c r="E5" s="2">
        <v>1</v>
      </c>
      <c r="F5" s="2" t="s">
        <v>1296</v>
      </c>
      <c r="G5" s="2" t="s">
        <v>1294</v>
      </c>
      <c r="H5" s="2" t="s">
        <v>2508</v>
      </c>
      <c r="I5" s="1" t="s">
        <v>4166</v>
      </c>
      <c r="J5" s="1" t="s">
        <v>4127</v>
      </c>
      <c r="K5" s="63">
        <v>29104391</v>
      </c>
      <c r="L5" s="1" t="s">
        <v>2438</v>
      </c>
      <c r="M5" s="1">
        <v>3447000</v>
      </c>
      <c r="N5" s="1" t="s">
        <v>3735</v>
      </c>
      <c r="O5" s="1" t="s">
        <v>4181</v>
      </c>
      <c r="P5" s="1">
        <v>3428</v>
      </c>
      <c r="Q5" s="64">
        <v>43073</v>
      </c>
      <c r="R5" s="64">
        <v>46724</v>
      </c>
      <c r="S5" s="62" t="s">
        <v>2440</v>
      </c>
      <c r="T5" s="1" t="s">
        <v>2442</v>
      </c>
      <c r="U5" s="9" t="s">
        <v>2444</v>
      </c>
      <c r="V5" s="2" t="s">
        <v>3307</v>
      </c>
      <c r="W5" s="2" t="s">
        <v>3308</v>
      </c>
      <c r="X5" s="2">
        <v>2814</v>
      </c>
      <c r="Y5" s="60">
        <v>88878.28</v>
      </c>
      <c r="Z5" s="60">
        <v>96644.75</v>
      </c>
      <c r="AA5" s="2" t="s">
        <v>3741</v>
      </c>
      <c r="AB5" s="66"/>
      <c r="AC5" s="66"/>
      <c r="AD5" s="66"/>
      <c r="AE5" s="66"/>
      <c r="AF5" s="66"/>
      <c r="AG5" s="66"/>
      <c r="AH5" s="43"/>
      <c r="AI5" s="43"/>
      <c r="AJ5" s="2"/>
      <c r="AK5" s="1"/>
      <c r="AL5" s="1"/>
      <c r="AM5" s="1"/>
      <c r="AN5" s="44">
        <f aca="true" t="shared" si="0" ref="AN5:AN81">AH5*AJ5*AK5*AL5</f>
        <v>0</v>
      </c>
      <c r="AO5" s="45">
        <f aca="true" t="shared" si="1" ref="AO5:AO81">AI5*AJ5*AK5*AM5</f>
        <v>0</v>
      </c>
      <c r="AP5" s="2" t="s">
        <v>2405</v>
      </c>
    </row>
    <row r="6" spans="1:42" ht="12.75">
      <c r="A6" s="2">
        <v>4</v>
      </c>
      <c r="B6" s="2">
        <v>4</v>
      </c>
      <c r="C6" s="2" t="s">
        <v>1292</v>
      </c>
      <c r="D6" s="2" t="s">
        <v>6</v>
      </c>
      <c r="E6" s="2">
        <v>1</v>
      </c>
      <c r="F6" s="2" t="s">
        <v>1297</v>
      </c>
      <c r="G6" s="2" t="s">
        <v>1298</v>
      </c>
      <c r="H6" s="2" t="s">
        <v>2508</v>
      </c>
      <c r="I6" s="1" t="s">
        <v>4166</v>
      </c>
      <c r="J6" s="1" t="s">
        <v>4127</v>
      </c>
      <c r="K6" s="63">
        <v>29104391</v>
      </c>
      <c r="L6" s="1" t="s">
        <v>2438</v>
      </c>
      <c r="M6" s="1">
        <v>3447000</v>
      </c>
      <c r="N6" s="1" t="s">
        <v>3735</v>
      </c>
      <c r="O6" s="1" t="s">
        <v>4181</v>
      </c>
      <c r="P6" s="1">
        <v>3428</v>
      </c>
      <c r="Q6" s="64">
        <v>43073</v>
      </c>
      <c r="R6" s="64">
        <v>46724</v>
      </c>
      <c r="S6" s="62" t="s">
        <v>2440</v>
      </c>
      <c r="T6" s="62" t="s">
        <v>2441</v>
      </c>
      <c r="U6" s="9" t="s">
        <v>2444</v>
      </c>
      <c r="V6" s="2" t="s">
        <v>3309</v>
      </c>
      <c r="W6" s="2" t="s">
        <v>3310</v>
      </c>
      <c r="X6" s="2">
        <v>2814</v>
      </c>
      <c r="Y6" s="60">
        <v>88891.16</v>
      </c>
      <c r="Z6" s="60">
        <v>96644.44</v>
      </c>
      <c r="AA6" s="2" t="s">
        <v>3741</v>
      </c>
      <c r="AB6" s="66"/>
      <c r="AC6" s="66"/>
      <c r="AD6" s="66"/>
      <c r="AE6" s="66"/>
      <c r="AF6" s="66"/>
      <c r="AG6" s="66"/>
      <c r="AH6" s="43"/>
      <c r="AI6" s="43"/>
      <c r="AJ6" s="2"/>
      <c r="AK6" s="1"/>
      <c r="AL6" s="1"/>
      <c r="AM6" s="1"/>
      <c r="AN6" s="44">
        <f t="shared" si="0"/>
        <v>0</v>
      </c>
      <c r="AO6" s="45">
        <f t="shared" si="1"/>
        <v>0</v>
      </c>
      <c r="AP6" s="2" t="s">
        <v>2405</v>
      </c>
    </row>
    <row r="7" spans="1:42" ht="12.75">
      <c r="A7" s="2">
        <v>5</v>
      </c>
      <c r="B7" s="2">
        <v>5</v>
      </c>
      <c r="C7" s="2" t="s">
        <v>1292</v>
      </c>
      <c r="D7" s="2" t="s">
        <v>6</v>
      </c>
      <c r="E7" s="2">
        <v>1</v>
      </c>
      <c r="F7" s="2" t="s">
        <v>1299</v>
      </c>
      <c r="G7" s="2" t="s">
        <v>1300</v>
      </c>
      <c r="H7" s="2" t="s">
        <v>2508</v>
      </c>
      <c r="I7" s="1" t="s">
        <v>4166</v>
      </c>
      <c r="J7" s="1" t="s">
        <v>4127</v>
      </c>
      <c r="K7" s="63">
        <v>29104391</v>
      </c>
      <c r="L7" s="1" t="s">
        <v>2438</v>
      </c>
      <c r="M7" s="1">
        <v>3447000</v>
      </c>
      <c r="N7" s="1" t="s">
        <v>3735</v>
      </c>
      <c r="O7" s="1" t="s">
        <v>4181</v>
      </c>
      <c r="P7" s="1">
        <v>3428</v>
      </c>
      <c r="Q7" s="64">
        <v>43073</v>
      </c>
      <c r="R7" s="64">
        <v>46724</v>
      </c>
      <c r="S7" s="62" t="s">
        <v>2440</v>
      </c>
      <c r="T7" s="62" t="s">
        <v>2441</v>
      </c>
      <c r="U7" s="9" t="s">
        <v>2444</v>
      </c>
      <c r="V7" s="2" t="s">
        <v>3311</v>
      </c>
      <c r="W7" s="2" t="s">
        <v>3312</v>
      </c>
      <c r="X7" s="2">
        <v>2812</v>
      </c>
      <c r="Y7" s="60">
        <v>88900.25</v>
      </c>
      <c r="Z7" s="60">
        <v>96633.74</v>
      </c>
      <c r="AA7" s="2" t="s">
        <v>3741</v>
      </c>
      <c r="AB7" s="66"/>
      <c r="AC7" s="66"/>
      <c r="AD7" s="66"/>
      <c r="AE7" s="66"/>
      <c r="AF7" s="66"/>
      <c r="AG7" s="66"/>
      <c r="AH7" s="43"/>
      <c r="AI7" s="43"/>
      <c r="AJ7" s="2"/>
      <c r="AK7" s="1"/>
      <c r="AL7" s="1"/>
      <c r="AM7" s="1"/>
      <c r="AN7" s="44">
        <f t="shared" si="0"/>
        <v>0</v>
      </c>
      <c r="AO7" s="45">
        <f t="shared" si="1"/>
        <v>0</v>
      </c>
      <c r="AP7" s="2" t="s">
        <v>2405</v>
      </c>
    </row>
    <row r="8" spans="1:42" ht="12.75">
      <c r="A8" s="2">
        <v>6</v>
      </c>
      <c r="B8" s="2">
        <v>6</v>
      </c>
      <c r="C8" s="2" t="s">
        <v>1292</v>
      </c>
      <c r="D8" s="2" t="s">
        <v>6</v>
      </c>
      <c r="E8" s="2">
        <v>1</v>
      </c>
      <c r="F8" s="2" t="s">
        <v>1301</v>
      </c>
      <c r="G8" s="2" t="s">
        <v>1302</v>
      </c>
      <c r="H8" s="2" t="s">
        <v>2508</v>
      </c>
      <c r="I8" s="1" t="s">
        <v>4166</v>
      </c>
      <c r="J8" s="1" t="s">
        <v>4127</v>
      </c>
      <c r="K8" s="63">
        <v>29104391</v>
      </c>
      <c r="L8" s="1" t="s">
        <v>2438</v>
      </c>
      <c r="M8" s="1">
        <v>3447000</v>
      </c>
      <c r="N8" s="1" t="s">
        <v>3735</v>
      </c>
      <c r="O8" s="1" t="s">
        <v>4181</v>
      </c>
      <c r="P8" s="1">
        <v>3428</v>
      </c>
      <c r="Q8" s="64">
        <v>43073</v>
      </c>
      <c r="R8" s="64">
        <v>46724</v>
      </c>
      <c r="S8" s="62" t="s">
        <v>2440</v>
      </c>
      <c r="T8" s="1" t="s">
        <v>2442</v>
      </c>
      <c r="U8" s="9" t="s">
        <v>2444</v>
      </c>
      <c r="V8" s="2" t="s">
        <v>3313</v>
      </c>
      <c r="W8" s="2" t="s">
        <v>3314</v>
      </c>
      <c r="X8" s="2">
        <v>2792</v>
      </c>
      <c r="Y8" s="60">
        <v>88917.3</v>
      </c>
      <c r="Z8" s="60">
        <v>96501.96</v>
      </c>
      <c r="AA8" s="2" t="s">
        <v>3741</v>
      </c>
      <c r="AB8" s="66"/>
      <c r="AC8" s="66"/>
      <c r="AD8" s="66"/>
      <c r="AE8" s="66"/>
      <c r="AF8" s="66"/>
      <c r="AG8" s="66"/>
      <c r="AH8" s="43"/>
      <c r="AI8" s="43"/>
      <c r="AJ8" s="2"/>
      <c r="AK8" s="1"/>
      <c r="AL8" s="1"/>
      <c r="AM8" s="1"/>
      <c r="AN8" s="44">
        <f t="shared" si="0"/>
        <v>0</v>
      </c>
      <c r="AO8" s="45">
        <f t="shared" si="1"/>
        <v>0</v>
      </c>
      <c r="AP8" s="2" t="s">
        <v>2405</v>
      </c>
    </row>
    <row r="9" spans="1:42" ht="12.75">
      <c r="A9" s="2">
        <v>7</v>
      </c>
      <c r="B9" s="2">
        <v>7</v>
      </c>
      <c r="C9" s="2" t="s">
        <v>1292</v>
      </c>
      <c r="D9" s="2" t="s">
        <v>6</v>
      </c>
      <c r="E9" s="2">
        <v>1</v>
      </c>
      <c r="F9" s="2" t="s">
        <v>1303</v>
      </c>
      <c r="G9" s="2" t="s">
        <v>1302</v>
      </c>
      <c r="H9" s="2" t="s">
        <v>2508</v>
      </c>
      <c r="I9" s="1" t="s">
        <v>4166</v>
      </c>
      <c r="J9" s="1" t="s">
        <v>4127</v>
      </c>
      <c r="K9" s="63">
        <v>29104391</v>
      </c>
      <c r="L9" s="1" t="s">
        <v>2438</v>
      </c>
      <c r="M9" s="1">
        <v>3447000</v>
      </c>
      <c r="N9" s="1" t="s">
        <v>3735</v>
      </c>
      <c r="O9" s="1" t="s">
        <v>4181</v>
      </c>
      <c r="P9" s="1">
        <v>3428</v>
      </c>
      <c r="Q9" s="64">
        <v>43073</v>
      </c>
      <c r="R9" s="64">
        <v>46724</v>
      </c>
      <c r="S9" s="62" t="s">
        <v>2440</v>
      </c>
      <c r="T9" s="62" t="s">
        <v>2441</v>
      </c>
      <c r="U9" s="9" t="s">
        <v>2444</v>
      </c>
      <c r="V9" s="2" t="s">
        <v>3315</v>
      </c>
      <c r="W9" s="2" t="s">
        <v>3316</v>
      </c>
      <c r="X9" s="2">
        <v>2775</v>
      </c>
      <c r="Y9" s="60">
        <v>88978.44</v>
      </c>
      <c r="Z9" s="60">
        <v>96317.23</v>
      </c>
      <c r="AA9" s="2" t="s">
        <v>3741</v>
      </c>
      <c r="AB9" s="66"/>
      <c r="AC9" s="66"/>
      <c r="AD9" s="66"/>
      <c r="AE9" s="66"/>
      <c r="AF9" s="66"/>
      <c r="AG9" s="66"/>
      <c r="AH9" s="43"/>
      <c r="AI9" s="43"/>
      <c r="AJ9" s="2"/>
      <c r="AK9" s="1"/>
      <c r="AL9" s="1"/>
      <c r="AM9" s="1"/>
      <c r="AN9" s="44">
        <f t="shared" si="0"/>
        <v>0</v>
      </c>
      <c r="AO9" s="45">
        <f t="shared" si="1"/>
        <v>0</v>
      </c>
      <c r="AP9" s="2" t="s">
        <v>2405</v>
      </c>
    </row>
    <row r="10" spans="1:42" ht="12.75">
      <c r="A10" s="2">
        <v>8</v>
      </c>
      <c r="B10" s="2">
        <v>8</v>
      </c>
      <c r="C10" s="2" t="s">
        <v>1292</v>
      </c>
      <c r="D10" s="2" t="s">
        <v>6</v>
      </c>
      <c r="E10" s="2">
        <v>1</v>
      </c>
      <c r="F10" s="2" t="s">
        <v>1304</v>
      </c>
      <c r="G10" s="2" t="s">
        <v>1305</v>
      </c>
      <c r="H10" s="2" t="s">
        <v>2508</v>
      </c>
      <c r="I10" s="1" t="s">
        <v>4166</v>
      </c>
      <c r="J10" s="1" t="s">
        <v>4127</v>
      </c>
      <c r="K10" s="63">
        <v>29104391</v>
      </c>
      <c r="L10" s="1" t="s">
        <v>2438</v>
      </c>
      <c r="M10" s="1">
        <v>3447000</v>
      </c>
      <c r="N10" s="1" t="s">
        <v>3735</v>
      </c>
      <c r="O10" s="1" t="s">
        <v>4181</v>
      </c>
      <c r="P10" s="1">
        <v>3428</v>
      </c>
      <c r="Q10" s="64">
        <v>43073</v>
      </c>
      <c r="R10" s="64">
        <v>46724</v>
      </c>
      <c r="S10" s="62" t="s">
        <v>2440</v>
      </c>
      <c r="T10" s="62" t="s">
        <v>2441</v>
      </c>
      <c r="U10" s="9" t="s">
        <v>2444</v>
      </c>
      <c r="V10" s="2" t="s">
        <v>3317</v>
      </c>
      <c r="W10" s="2" t="s">
        <v>3318</v>
      </c>
      <c r="X10" s="2">
        <v>2755</v>
      </c>
      <c r="Y10" s="60">
        <v>89001.79</v>
      </c>
      <c r="Z10" s="60">
        <v>96148.53</v>
      </c>
      <c r="AA10" s="2" t="s">
        <v>3741</v>
      </c>
      <c r="AB10" s="66"/>
      <c r="AC10" s="66"/>
      <c r="AD10" s="66"/>
      <c r="AE10" s="66"/>
      <c r="AF10" s="66"/>
      <c r="AG10" s="66"/>
      <c r="AH10" s="43"/>
      <c r="AI10" s="43"/>
      <c r="AJ10" s="2"/>
      <c r="AK10" s="1"/>
      <c r="AL10" s="1"/>
      <c r="AM10" s="1"/>
      <c r="AN10" s="44">
        <f t="shared" si="0"/>
        <v>0</v>
      </c>
      <c r="AO10" s="45">
        <f t="shared" si="1"/>
        <v>0</v>
      </c>
      <c r="AP10" s="2" t="s">
        <v>2405</v>
      </c>
    </row>
    <row r="11" spans="1:42" ht="12.75">
      <c r="A11" s="2">
        <v>9</v>
      </c>
      <c r="B11" s="2">
        <v>9</v>
      </c>
      <c r="C11" s="2" t="s">
        <v>1292</v>
      </c>
      <c r="D11" s="2" t="s">
        <v>6</v>
      </c>
      <c r="E11" s="2">
        <v>1</v>
      </c>
      <c r="F11" s="2" t="s">
        <v>1306</v>
      </c>
      <c r="G11" s="2" t="s">
        <v>1307</v>
      </c>
      <c r="H11" s="2" t="s">
        <v>2508</v>
      </c>
      <c r="I11" s="1" t="s">
        <v>4166</v>
      </c>
      <c r="J11" s="1" t="s">
        <v>4127</v>
      </c>
      <c r="K11" s="63">
        <v>29104391</v>
      </c>
      <c r="L11" s="1" t="s">
        <v>2438</v>
      </c>
      <c r="M11" s="1">
        <v>3447000</v>
      </c>
      <c r="N11" s="1" t="s">
        <v>3735</v>
      </c>
      <c r="O11" s="1" t="s">
        <v>4181</v>
      </c>
      <c r="P11" s="1">
        <v>3428</v>
      </c>
      <c r="Q11" s="64">
        <v>43073</v>
      </c>
      <c r="R11" s="64">
        <v>46724</v>
      </c>
      <c r="S11" s="62" t="s">
        <v>2440</v>
      </c>
      <c r="T11" s="1" t="s">
        <v>2442</v>
      </c>
      <c r="U11" s="9" t="s">
        <v>2444</v>
      </c>
      <c r="V11" s="2" t="s">
        <v>3319</v>
      </c>
      <c r="W11" s="2" t="s">
        <v>3320</v>
      </c>
      <c r="X11" s="2">
        <v>2745</v>
      </c>
      <c r="Y11" s="60">
        <v>89016.23</v>
      </c>
      <c r="Z11" s="60">
        <v>96073.59</v>
      </c>
      <c r="AA11" s="2" t="s">
        <v>3741</v>
      </c>
      <c r="AB11" s="66"/>
      <c r="AC11" s="66"/>
      <c r="AD11" s="66"/>
      <c r="AE11" s="66"/>
      <c r="AF11" s="66"/>
      <c r="AG11" s="66"/>
      <c r="AH11" s="43"/>
      <c r="AI11" s="43"/>
      <c r="AJ11" s="2"/>
      <c r="AK11" s="1"/>
      <c r="AL11" s="1"/>
      <c r="AM11" s="1"/>
      <c r="AN11" s="44">
        <f t="shared" si="0"/>
        <v>0</v>
      </c>
      <c r="AO11" s="45">
        <f t="shared" si="1"/>
        <v>0</v>
      </c>
      <c r="AP11" s="2" t="s">
        <v>2405</v>
      </c>
    </row>
    <row r="12" spans="1:42" ht="12.75">
      <c r="A12" s="2">
        <v>10</v>
      </c>
      <c r="B12" s="2">
        <v>10</v>
      </c>
      <c r="C12" s="2" t="s">
        <v>1292</v>
      </c>
      <c r="D12" s="2" t="s">
        <v>6</v>
      </c>
      <c r="E12" s="2">
        <v>1</v>
      </c>
      <c r="F12" s="2" t="s">
        <v>1308</v>
      </c>
      <c r="G12" s="2" t="s">
        <v>1309</v>
      </c>
      <c r="H12" s="2" t="s">
        <v>2508</v>
      </c>
      <c r="I12" s="1" t="s">
        <v>4166</v>
      </c>
      <c r="J12" s="1" t="s">
        <v>4127</v>
      </c>
      <c r="K12" s="63">
        <v>29104391</v>
      </c>
      <c r="L12" s="1" t="s">
        <v>2438</v>
      </c>
      <c r="M12" s="1">
        <v>3447000</v>
      </c>
      <c r="N12" s="1" t="s">
        <v>3735</v>
      </c>
      <c r="O12" s="1" t="s">
        <v>4181</v>
      </c>
      <c r="P12" s="1">
        <v>3428</v>
      </c>
      <c r="Q12" s="64">
        <v>43073</v>
      </c>
      <c r="R12" s="64">
        <v>46724</v>
      </c>
      <c r="S12" s="62" t="s">
        <v>2440</v>
      </c>
      <c r="T12" s="1" t="s">
        <v>2442</v>
      </c>
      <c r="U12" s="9" t="s">
        <v>2444</v>
      </c>
      <c r="V12" s="2" t="s">
        <v>3321</v>
      </c>
      <c r="W12" s="2" t="s">
        <v>3322</v>
      </c>
      <c r="X12" s="2">
        <v>2737</v>
      </c>
      <c r="Y12" s="60">
        <v>89062.94</v>
      </c>
      <c r="Z12" s="60">
        <v>96030.1</v>
      </c>
      <c r="AA12" s="2" t="s">
        <v>3741</v>
      </c>
      <c r="AB12" s="66"/>
      <c r="AC12" s="66"/>
      <c r="AD12" s="66"/>
      <c r="AE12" s="66"/>
      <c r="AF12" s="66"/>
      <c r="AG12" s="66"/>
      <c r="AH12" s="43"/>
      <c r="AI12" s="43"/>
      <c r="AJ12" s="2"/>
      <c r="AK12" s="1"/>
      <c r="AL12" s="1"/>
      <c r="AM12" s="1"/>
      <c r="AN12" s="44">
        <f t="shared" si="0"/>
        <v>0</v>
      </c>
      <c r="AO12" s="45">
        <f t="shared" si="1"/>
        <v>0</v>
      </c>
      <c r="AP12" s="2" t="s">
        <v>2405</v>
      </c>
    </row>
    <row r="13" spans="1:42" ht="12.75">
      <c r="A13" s="2">
        <v>11</v>
      </c>
      <c r="B13" s="2">
        <v>11</v>
      </c>
      <c r="C13" s="2" t="s">
        <v>1292</v>
      </c>
      <c r="D13" s="2" t="s">
        <v>6</v>
      </c>
      <c r="E13" s="2">
        <v>1</v>
      </c>
      <c r="F13" s="2" t="s">
        <v>1310</v>
      </c>
      <c r="G13" s="2" t="s">
        <v>1311</v>
      </c>
      <c r="H13" s="2" t="s">
        <v>2508</v>
      </c>
      <c r="I13" s="1" t="s">
        <v>4166</v>
      </c>
      <c r="J13" s="1" t="s">
        <v>4127</v>
      </c>
      <c r="K13" s="63">
        <v>29104391</v>
      </c>
      <c r="L13" s="1" t="s">
        <v>2438</v>
      </c>
      <c r="M13" s="1">
        <v>3447000</v>
      </c>
      <c r="N13" s="1" t="s">
        <v>3735</v>
      </c>
      <c r="O13" s="1" t="s">
        <v>4181</v>
      </c>
      <c r="P13" s="1">
        <v>3428</v>
      </c>
      <c r="Q13" s="64">
        <v>43073</v>
      </c>
      <c r="R13" s="64">
        <v>46724</v>
      </c>
      <c r="S13" s="62" t="s">
        <v>2440</v>
      </c>
      <c r="T13" s="62" t="s">
        <v>2441</v>
      </c>
      <c r="U13" s="9" t="s">
        <v>2444</v>
      </c>
      <c r="V13" s="2" t="s">
        <v>3323</v>
      </c>
      <c r="W13" s="2" t="s">
        <v>3324</v>
      </c>
      <c r="X13" s="2">
        <v>2725</v>
      </c>
      <c r="Y13" s="60">
        <v>89082.29</v>
      </c>
      <c r="Z13" s="60">
        <v>95960.4</v>
      </c>
      <c r="AA13" s="2" t="s">
        <v>3741</v>
      </c>
      <c r="AB13" s="66"/>
      <c r="AC13" s="66"/>
      <c r="AD13" s="66"/>
      <c r="AE13" s="66"/>
      <c r="AF13" s="66"/>
      <c r="AG13" s="66"/>
      <c r="AH13" s="43"/>
      <c r="AI13" s="43"/>
      <c r="AJ13" s="2"/>
      <c r="AK13" s="1"/>
      <c r="AL13" s="1"/>
      <c r="AM13" s="1"/>
      <c r="AN13" s="44">
        <f t="shared" si="0"/>
        <v>0</v>
      </c>
      <c r="AO13" s="45">
        <f t="shared" si="1"/>
        <v>0</v>
      </c>
      <c r="AP13" s="2" t="s">
        <v>2405</v>
      </c>
    </row>
    <row r="14" spans="1:42" ht="38.25">
      <c r="A14" s="2">
        <v>12</v>
      </c>
      <c r="B14" s="2">
        <v>12</v>
      </c>
      <c r="C14" s="2" t="s">
        <v>1292</v>
      </c>
      <c r="D14" s="2" t="s">
        <v>6</v>
      </c>
      <c r="E14" s="2">
        <v>1</v>
      </c>
      <c r="F14" s="2" t="s">
        <v>2374</v>
      </c>
      <c r="G14" s="2" t="s">
        <v>1311</v>
      </c>
      <c r="H14" s="2" t="s">
        <v>2508</v>
      </c>
      <c r="I14" s="1" t="s">
        <v>4166</v>
      </c>
      <c r="J14" s="1" t="s">
        <v>4127</v>
      </c>
      <c r="K14" s="63">
        <v>29104391</v>
      </c>
      <c r="L14" s="1" t="s">
        <v>2438</v>
      </c>
      <c r="M14" s="1">
        <v>3447000</v>
      </c>
      <c r="N14" s="1" t="s">
        <v>3735</v>
      </c>
      <c r="O14" s="1" t="s">
        <v>4181</v>
      </c>
      <c r="P14" s="1">
        <v>3428</v>
      </c>
      <c r="Q14" s="64">
        <v>43073</v>
      </c>
      <c r="R14" s="64">
        <v>46724</v>
      </c>
      <c r="S14" s="62" t="s">
        <v>2440</v>
      </c>
      <c r="T14" s="1" t="s">
        <v>2442</v>
      </c>
      <c r="U14" s="9" t="s">
        <v>2444</v>
      </c>
      <c r="V14" s="2" t="s">
        <v>2375</v>
      </c>
      <c r="W14" s="2" t="s">
        <v>2376</v>
      </c>
      <c r="X14" s="2">
        <v>2724</v>
      </c>
      <c r="Y14" s="60">
        <v>89083.52</v>
      </c>
      <c r="Z14" s="60">
        <v>95941.28</v>
      </c>
      <c r="AA14" s="2" t="s">
        <v>4175</v>
      </c>
      <c r="AB14" s="83">
        <v>43055</v>
      </c>
      <c r="AC14" s="13" t="s">
        <v>4095</v>
      </c>
      <c r="AD14" s="2">
        <v>177</v>
      </c>
      <c r="AE14" s="2">
        <v>227.5</v>
      </c>
      <c r="AF14" s="2">
        <v>6.268000000000001</v>
      </c>
      <c r="AG14" s="2">
        <v>24</v>
      </c>
      <c r="AH14" s="102">
        <f>AF14*AD14*AG14*0.0036</f>
        <v>95.85527040000001</v>
      </c>
      <c r="AI14" s="102">
        <f>AF14*AE14*AG14*0.0036</f>
        <v>123.20380800000002</v>
      </c>
      <c r="AJ14" s="2">
        <v>30</v>
      </c>
      <c r="AK14" s="1">
        <v>12</v>
      </c>
      <c r="AL14" s="1">
        <v>0.76</v>
      </c>
      <c r="AM14" s="1">
        <v>0.74</v>
      </c>
      <c r="AN14" s="44">
        <f t="shared" si="0"/>
        <v>26226.001981439997</v>
      </c>
      <c r="AO14" s="45">
        <f t="shared" si="1"/>
        <v>32821.49445120001</v>
      </c>
      <c r="AP14" s="2" t="s">
        <v>2405</v>
      </c>
    </row>
    <row r="15" spans="1:42" ht="12.75">
      <c r="A15" s="2">
        <v>13</v>
      </c>
      <c r="B15" s="2">
        <v>13</v>
      </c>
      <c r="C15" s="2" t="s">
        <v>1292</v>
      </c>
      <c r="D15" s="2" t="s">
        <v>6</v>
      </c>
      <c r="E15" s="2">
        <v>1</v>
      </c>
      <c r="F15" s="2" t="s">
        <v>1312</v>
      </c>
      <c r="G15" s="2" t="s">
        <v>1311</v>
      </c>
      <c r="H15" s="2" t="s">
        <v>2508</v>
      </c>
      <c r="I15" s="1" t="s">
        <v>4166</v>
      </c>
      <c r="J15" s="1" t="s">
        <v>4127</v>
      </c>
      <c r="K15" s="63">
        <v>29104391</v>
      </c>
      <c r="L15" s="1" t="s">
        <v>2438</v>
      </c>
      <c r="M15" s="1">
        <v>3447000</v>
      </c>
      <c r="N15" s="1" t="s">
        <v>3735</v>
      </c>
      <c r="O15" s="1" t="s">
        <v>4181</v>
      </c>
      <c r="P15" s="1">
        <v>3428</v>
      </c>
      <c r="Q15" s="64">
        <v>43073</v>
      </c>
      <c r="R15" s="64">
        <v>46724</v>
      </c>
      <c r="S15" s="62" t="s">
        <v>2440</v>
      </c>
      <c r="T15" s="1" t="s">
        <v>2442</v>
      </c>
      <c r="U15" s="9" t="s">
        <v>2444</v>
      </c>
      <c r="V15" s="2" t="s">
        <v>3325</v>
      </c>
      <c r="W15" s="2" t="s">
        <v>3326</v>
      </c>
      <c r="X15" s="2">
        <v>2724</v>
      </c>
      <c r="Y15" s="60">
        <v>89092.43</v>
      </c>
      <c r="Z15" s="60">
        <v>95947.45</v>
      </c>
      <c r="AA15" s="2" t="s">
        <v>3741</v>
      </c>
      <c r="AB15" s="66"/>
      <c r="AC15" s="66"/>
      <c r="AD15" s="66"/>
      <c r="AE15" s="66"/>
      <c r="AF15" s="66"/>
      <c r="AG15" s="66"/>
      <c r="AH15" s="43"/>
      <c r="AI15" s="43"/>
      <c r="AJ15" s="2"/>
      <c r="AK15" s="1"/>
      <c r="AL15" s="1"/>
      <c r="AM15" s="1"/>
      <c r="AN15" s="44">
        <f t="shared" si="0"/>
        <v>0</v>
      </c>
      <c r="AO15" s="45">
        <f t="shared" si="1"/>
        <v>0</v>
      </c>
      <c r="AP15" s="2" t="s">
        <v>2405</v>
      </c>
    </row>
    <row r="16" spans="1:42" ht="12.75">
      <c r="A16" s="2">
        <v>14</v>
      </c>
      <c r="B16" s="2">
        <v>14</v>
      </c>
      <c r="C16" s="2" t="s">
        <v>1292</v>
      </c>
      <c r="D16" s="2" t="s">
        <v>6</v>
      </c>
      <c r="E16" s="2">
        <v>1</v>
      </c>
      <c r="F16" s="2" t="s">
        <v>1313</v>
      </c>
      <c r="G16" s="2" t="s">
        <v>1314</v>
      </c>
      <c r="H16" s="2" t="s">
        <v>2508</v>
      </c>
      <c r="I16" s="1" t="s">
        <v>4166</v>
      </c>
      <c r="J16" s="1" t="s">
        <v>4127</v>
      </c>
      <c r="K16" s="63">
        <v>29104391</v>
      </c>
      <c r="L16" s="1" t="s">
        <v>2438</v>
      </c>
      <c r="M16" s="1">
        <v>3447000</v>
      </c>
      <c r="N16" s="1" t="s">
        <v>3735</v>
      </c>
      <c r="O16" s="1" t="s">
        <v>4181</v>
      </c>
      <c r="P16" s="1">
        <v>3428</v>
      </c>
      <c r="Q16" s="64">
        <v>43073</v>
      </c>
      <c r="R16" s="64">
        <v>46724</v>
      </c>
      <c r="S16" s="62" t="s">
        <v>2440</v>
      </c>
      <c r="T16" s="62" t="s">
        <v>2441</v>
      </c>
      <c r="U16" s="9" t="s">
        <v>2444</v>
      </c>
      <c r="V16" s="2" t="s">
        <v>3327</v>
      </c>
      <c r="W16" s="2" t="s">
        <v>3328</v>
      </c>
      <c r="X16" s="2">
        <v>2686</v>
      </c>
      <c r="Y16" s="60">
        <v>89263.23</v>
      </c>
      <c r="Z16" s="60">
        <v>94488.41</v>
      </c>
      <c r="AA16" s="2" t="s">
        <v>3741</v>
      </c>
      <c r="AB16" s="66"/>
      <c r="AC16" s="66"/>
      <c r="AD16" s="66"/>
      <c r="AE16" s="66"/>
      <c r="AF16" s="66"/>
      <c r="AG16" s="66"/>
      <c r="AH16" s="43"/>
      <c r="AI16" s="43"/>
      <c r="AJ16" s="2"/>
      <c r="AK16" s="1"/>
      <c r="AL16" s="1"/>
      <c r="AM16" s="1"/>
      <c r="AN16" s="44">
        <f t="shared" si="0"/>
        <v>0</v>
      </c>
      <c r="AO16" s="45">
        <f t="shared" si="1"/>
        <v>0</v>
      </c>
      <c r="AP16" s="2" t="s">
        <v>2405</v>
      </c>
    </row>
    <row r="17" spans="1:42" ht="12.75">
      <c r="A17" s="2">
        <v>15</v>
      </c>
      <c r="B17" s="2">
        <v>15</v>
      </c>
      <c r="C17" s="2" t="s">
        <v>1292</v>
      </c>
      <c r="D17" s="2" t="s">
        <v>6</v>
      </c>
      <c r="E17" s="2">
        <v>1</v>
      </c>
      <c r="F17" s="2" t="s">
        <v>1315</v>
      </c>
      <c r="G17" s="2" t="s">
        <v>1314</v>
      </c>
      <c r="H17" s="2" t="s">
        <v>2508</v>
      </c>
      <c r="I17" s="1" t="s">
        <v>4166</v>
      </c>
      <c r="J17" s="1" t="s">
        <v>4127</v>
      </c>
      <c r="K17" s="63">
        <v>29104391</v>
      </c>
      <c r="L17" s="1" t="s">
        <v>2438</v>
      </c>
      <c r="M17" s="1">
        <v>3447000</v>
      </c>
      <c r="N17" s="1" t="s">
        <v>3735</v>
      </c>
      <c r="O17" s="1" t="s">
        <v>4181</v>
      </c>
      <c r="P17" s="1">
        <v>3428</v>
      </c>
      <c r="Q17" s="64">
        <v>43073</v>
      </c>
      <c r="R17" s="64">
        <v>46724</v>
      </c>
      <c r="S17" s="62" t="s">
        <v>2440</v>
      </c>
      <c r="T17" s="62" t="s">
        <v>2441</v>
      </c>
      <c r="U17" s="9" t="s">
        <v>2445</v>
      </c>
      <c r="V17" s="2" t="s">
        <v>3329</v>
      </c>
      <c r="W17" s="2" t="s">
        <v>3330</v>
      </c>
      <c r="X17" s="2">
        <v>2642</v>
      </c>
      <c r="Y17" s="60">
        <v>89048.46</v>
      </c>
      <c r="Z17" s="60">
        <v>95161.34</v>
      </c>
      <c r="AA17" s="2" t="s">
        <v>3741</v>
      </c>
      <c r="AB17" s="66"/>
      <c r="AC17" s="66"/>
      <c r="AD17" s="66"/>
      <c r="AE17" s="66"/>
      <c r="AF17" s="66"/>
      <c r="AG17" s="66"/>
      <c r="AH17" s="43"/>
      <c r="AI17" s="43"/>
      <c r="AJ17" s="2"/>
      <c r="AK17" s="1"/>
      <c r="AL17" s="1"/>
      <c r="AM17" s="1"/>
      <c r="AN17" s="44">
        <f t="shared" si="0"/>
        <v>0</v>
      </c>
      <c r="AO17" s="45">
        <f t="shared" si="1"/>
        <v>0</v>
      </c>
      <c r="AP17" s="2" t="s">
        <v>2405</v>
      </c>
    </row>
    <row r="18" spans="1:42" ht="12.75">
      <c r="A18" s="2">
        <v>16</v>
      </c>
      <c r="B18" s="2">
        <v>16</v>
      </c>
      <c r="C18" s="2" t="s">
        <v>1292</v>
      </c>
      <c r="D18" s="2" t="s">
        <v>6</v>
      </c>
      <c r="E18" s="2">
        <v>1</v>
      </c>
      <c r="F18" s="2" t="s">
        <v>1316</v>
      </c>
      <c r="G18" s="2" t="s">
        <v>1317</v>
      </c>
      <c r="H18" s="2" t="s">
        <v>2508</v>
      </c>
      <c r="I18" s="1" t="s">
        <v>4166</v>
      </c>
      <c r="J18" s="1" t="s">
        <v>4127</v>
      </c>
      <c r="K18" s="63">
        <v>29104391</v>
      </c>
      <c r="L18" s="1" t="s">
        <v>2438</v>
      </c>
      <c r="M18" s="1">
        <v>3447000</v>
      </c>
      <c r="N18" s="1" t="s">
        <v>3735</v>
      </c>
      <c r="O18" s="1" t="s">
        <v>4181</v>
      </c>
      <c r="P18" s="1">
        <v>3428</v>
      </c>
      <c r="Q18" s="64">
        <v>43073</v>
      </c>
      <c r="R18" s="64">
        <v>46724</v>
      </c>
      <c r="S18" s="62" t="s">
        <v>2440</v>
      </c>
      <c r="T18" s="1" t="s">
        <v>2442</v>
      </c>
      <c r="U18" s="9" t="s">
        <v>2444</v>
      </c>
      <c r="V18" s="2" t="s">
        <v>3331</v>
      </c>
      <c r="W18" s="2" t="s">
        <v>3332</v>
      </c>
      <c r="X18" s="2">
        <v>2655</v>
      </c>
      <c r="Y18" s="60">
        <v>89133.28</v>
      </c>
      <c r="Z18" s="60">
        <v>95312.77</v>
      </c>
      <c r="AA18" s="2" t="s">
        <v>3741</v>
      </c>
      <c r="AB18" s="66"/>
      <c r="AC18" s="66"/>
      <c r="AD18" s="66"/>
      <c r="AE18" s="66"/>
      <c r="AF18" s="66"/>
      <c r="AG18" s="66"/>
      <c r="AH18" s="43"/>
      <c r="AI18" s="43"/>
      <c r="AJ18" s="2"/>
      <c r="AK18" s="1"/>
      <c r="AL18" s="1"/>
      <c r="AM18" s="1"/>
      <c r="AN18" s="44">
        <f t="shared" si="0"/>
        <v>0</v>
      </c>
      <c r="AO18" s="45">
        <f t="shared" si="1"/>
        <v>0</v>
      </c>
      <c r="AP18" s="2" t="s">
        <v>2405</v>
      </c>
    </row>
    <row r="19" spans="1:42" ht="12.75">
      <c r="A19" s="2">
        <v>17</v>
      </c>
      <c r="B19" s="2">
        <v>17</v>
      </c>
      <c r="C19" s="2" t="s">
        <v>1292</v>
      </c>
      <c r="D19" s="2" t="s">
        <v>6</v>
      </c>
      <c r="E19" s="2">
        <v>1</v>
      </c>
      <c r="F19" s="2" t="s">
        <v>1318</v>
      </c>
      <c r="G19" s="2" t="s">
        <v>1317</v>
      </c>
      <c r="H19" s="2" t="s">
        <v>2508</v>
      </c>
      <c r="I19" s="1" t="s">
        <v>4166</v>
      </c>
      <c r="J19" s="1" t="s">
        <v>4127</v>
      </c>
      <c r="K19" s="63">
        <v>29104391</v>
      </c>
      <c r="L19" s="1" t="s">
        <v>2438</v>
      </c>
      <c r="M19" s="1">
        <v>3447000</v>
      </c>
      <c r="N19" s="1" t="s">
        <v>3735</v>
      </c>
      <c r="O19" s="1" t="s">
        <v>4181</v>
      </c>
      <c r="P19" s="1">
        <v>3428</v>
      </c>
      <c r="Q19" s="64">
        <v>43073</v>
      </c>
      <c r="R19" s="64">
        <v>46724</v>
      </c>
      <c r="S19" s="62" t="s">
        <v>2440</v>
      </c>
      <c r="T19" s="30" t="s">
        <v>2436</v>
      </c>
      <c r="U19" s="9" t="s">
        <v>2443</v>
      </c>
      <c r="V19" s="2" t="s">
        <v>3334</v>
      </c>
      <c r="W19" s="2" t="s">
        <v>3333</v>
      </c>
      <c r="X19" s="2">
        <v>2642</v>
      </c>
      <c r="Y19" s="60">
        <v>89049.999</v>
      </c>
      <c r="Z19" s="60">
        <v>95156.724</v>
      </c>
      <c r="AA19" s="2" t="s">
        <v>3741</v>
      </c>
      <c r="AB19" s="66"/>
      <c r="AC19" s="66"/>
      <c r="AD19" s="66"/>
      <c r="AE19" s="66"/>
      <c r="AF19" s="66"/>
      <c r="AG19" s="66"/>
      <c r="AH19" s="43"/>
      <c r="AI19" s="43"/>
      <c r="AJ19" s="2"/>
      <c r="AK19" s="1"/>
      <c r="AL19" s="1"/>
      <c r="AM19" s="1"/>
      <c r="AN19" s="44">
        <f t="shared" si="0"/>
        <v>0</v>
      </c>
      <c r="AO19" s="45">
        <f t="shared" si="1"/>
        <v>0</v>
      </c>
      <c r="AP19" s="2"/>
    </row>
    <row r="20" spans="1:42" ht="12.75">
      <c r="A20" s="2"/>
      <c r="B20" s="226" t="s">
        <v>2537</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72"/>
      <c r="AO20" s="70"/>
      <c r="AP20" s="66"/>
    </row>
    <row r="21" spans="1:42" ht="12.75">
      <c r="A21" s="2"/>
      <c r="B21" s="227" t="s">
        <v>2538</v>
      </c>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73">
        <f>SUM(AN3:AN19)</f>
        <v>35624.326901759996</v>
      </c>
      <c r="AO21" s="73">
        <f>SUM(AO3:AO19)</f>
        <v>89090.23541760002</v>
      </c>
      <c r="AP21" s="66"/>
    </row>
    <row r="22" spans="1:42" ht="25.5">
      <c r="A22" s="2">
        <v>18</v>
      </c>
      <c r="B22" s="2">
        <v>18</v>
      </c>
      <c r="C22" s="2" t="s">
        <v>1319</v>
      </c>
      <c r="D22" s="2" t="s">
        <v>6</v>
      </c>
      <c r="E22" s="2">
        <v>1</v>
      </c>
      <c r="F22" s="2" t="s">
        <v>1320</v>
      </c>
      <c r="G22" s="2" t="s">
        <v>1321</v>
      </c>
      <c r="H22" s="2" t="s">
        <v>2508</v>
      </c>
      <c r="I22" s="1" t="s">
        <v>4166</v>
      </c>
      <c r="J22" s="1" t="s">
        <v>4127</v>
      </c>
      <c r="K22" s="63">
        <v>29104391</v>
      </c>
      <c r="L22" s="1" t="s">
        <v>2438</v>
      </c>
      <c r="M22" s="1">
        <v>3447000</v>
      </c>
      <c r="N22" s="1" t="s">
        <v>3735</v>
      </c>
      <c r="O22" s="1" t="s">
        <v>4181</v>
      </c>
      <c r="P22" s="1">
        <v>3428</v>
      </c>
      <c r="Q22" s="64">
        <v>43073</v>
      </c>
      <c r="R22" s="64">
        <v>46724</v>
      </c>
      <c r="S22" s="62" t="s">
        <v>2440</v>
      </c>
      <c r="T22" s="30" t="s">
        <v>2436</v>
      </c>
      <c r="U22" s="9" t="s">
        <v>2480</v>
      </c>
      <c r="V22" s="2" t="s">
        <v>3335</v>
      </c>
      <c r="W22" s="2" t="s">
        <v>3336</v>
      </c>
      <c r="X22" s="2">
        <v>2863</v>
      </c>
      <c r="Y22" s="60">
        <v>88128.397</v>
      </c>
      <c r="Z22" s="60">
        <v>96647.262</v>
      </c>
      <c r="AA22" s="2" t="s">
        <v>3741</v>
      </c>
      <c r="AB22" s="66"/>
      <c r="AC22" s="66"/>
      <c r="AD22" s="66"/>
      <c r="AE22" s="66"/>
      <c r="AF22" s="66"/>
      <c r="AG22" s="66"/>
      <c r="AH22" s="43"/>
      <c r="AI22" s="43"/>
      <c r="AJ22" s="2"/>
      <c r="AK22" s="1"/>
      <c r="AL22" s="1"/>
      <c r="AM22" s="1"/>
      <c r="AN22" s="44">
        <f t="shared" si="0"/>
        <v>0</v>
      </c>
      <c r="AO22" s="45">
        <f t="shared" si="1"/>
        <v>0</v>
      </c>
      <c r="AP22" s="66"/>
    </row>
    <row r="23" spans="1:42" ht="12.75">
      <c r="A23" s="2">
        <v>19</v>
      </c>
      <c r="B23" s="2">
        <v>19</v>
      </c>
      <c r="C23" s="2" t="s">
        <v>1319</v>
      </c>
      <c r="D23" s="2" t="s">
        <v>6</v>
      </c>
      <c r="E23" s="2">
        <v>1</v>
      </c>
      <c r="F23" s="2" t="s">
        <v>1322</v>
      </c>
      <c r="G23" s="2" t="s">
        <v>1323</v>
      </c>
      <c r="H23" s="2" t="s">
        <v>2508</v>
      </c>
      <c r="I23" s="1" t="s">
        <v>4166</v>
      </c>
      <c r="J23" s="1" t="s">
        <v>4127</v>
      </c>
      <c r="K23" s="63">
        <v>29104391</v>
      </c>
      <c r="L23" s="1" t="s">
        <v>2438</v>
      </c>
      <c r="M23" s="1">
        <v>3447000</v>
      </c>
      <c r="N23" s="1" t="s">
        <v>3735</v>
      </c>
      <c r="O23" s="1" t="s">
        <v>4181</v>
      </c>
      <c r="P23" s="1">
        <v>3428</v>
      </c>
      <c r="Q23" s="64">
        <v>43073</v>
      </c>
      <c r="R23" s="64">
        <v>46724</v>
      </c>
      <c r="S23" s="62" t="s">
        <v>2440</v>
      </c>
      <c r="T23" s="30" t="s">
        <v>2436</v>
      </c>
      <c r="U23" s="9" t="s">
        <v>2480</v>
      </c>
      <c r="V23" s="2" t="s">
        <v>3337</v>
      </c>
      <c r="W23" s="2" t="s">
        <v>3338</v>
      </c>
      <c r="X23" s="2">
        <v>2861</v>
      </c>
      <c r="Y23" s="60">
        <v>88127.535</v>
      </c>
      <c r="Z23" s="60">
        <v>96606.954</v>
      </c>
      <c r="AA23" s="2" t="s">
        <v>3741</v>
      </c>
      <c r="AB23" s="66"/>
      <c r="AC23" s="66"/>
      <c r="AD23" s="66"/>
      <c r="AE23" s="66"/>
      <c r="AF23" s="66"/>
      <c r="AG23" s="66"/>
      <c r="AH23" s="43"/>
      <c r="AI23" s="43"/>
      <c r="AJ23" s="2"/>
      <c r="AK23" s="1"/>
      <c r="AL23" s="1"/>
      <c r="AM23" s="1"/>
      <c r="AN23" s="44">
        <f t="shared" si="0"/>
        <v>0</v>
      </c>
      <c r="AO23" s="45">
        <f t="shared" si="1"/>
        <v>0</v>
      </c>
      <c r="AP23" s="66"/>
    </row>
    <row r="24" spans="1:42" ht="12.75">
      <c r="A24" s="2">
        <v>20</v>
      </c>
      <c r="B24" s="2">
        <v>20</v>
      </c>
      <c r="C24" s="2" t="s">
        <v>1319</v>
      </c>
      <c r="D24" s="2" t="s">
        <v>6</v>
      </c>
      <c r="E24" s="2">
        <v>1</v>
      </c>
      <c r="F24" s="2" t="s">
        <v>1324</v>
      </c>
      <c r="G24" s="2" t="s">
        <v>1323</v>
      </c>
      <c r="H24" s="2" t="s">
        <v>2508</v>
      </c>
      <c r="I24" s="1" t="s">
        <v>4166</v>
      </c>
      <c r="J24" s="1" t="s">
        <v>4127</v>
      </c>
      <c r="K24" s="63">
        <v>29104391</v>
      </c>
      <c r="L24" s="1" t="s">
        <v>2438</v>
      </c>
      <c r="M24" s="1">
        <v>3447000</v>
      </c>
      <c r="N24" s="1" t="s">
        <v>3735</v>
      </c>
      <c r="O24" s="1" t="s">
        <v>4181</v>
      </c>
      <c r="P24" s="1">
        <v>3428</v>
      </c>
      <c r="Q24" s="64">
        <v>43073</v>
      </c>
      <c r="R24" s="64">
        <v>46724</v>
      </c>
      <c r="S24" s="62" t="s">
        <v>2440</v>
      </c>
      <c r="T24" s="30" t="s">
        <v>2436</v>
      </c>
      <c r="U24" s="9" t="s">
        <v>2480</v>
      </c>
      <c r="V24" s="2" t="s">
        <v>3339</v>
      </c>
      <c r="W24" s="2" t="s">
        <v>3340</v>
      </c>
      <c r="X24" s="2">
        <v>2858</v>
      </c>
      <c r="Y24" s="60">
        <v>88096.127</v>
      </c>
      <c r="Z24" s="60">
        <v>96574.974</v>
      </c>
      <c r="AA24" s="2" t="s">
        <v>3741</v>
      </c>
      <c r="AB24" s="66"/>
      <c r="AC24" s="66"/>
      <c r="AD24" s="66"/>
      <c r="AE24" s="66"/>
      <c r="AF24" s="66"/>
      <c r="AG24" s="66"/>
      <c r="AH24" s="43"/>
      <c r="AI24" s="43"/>
      <c r="AJ24" s="2"/>
      <c r="AK24" s="1"/>
      <c r="AL24" s="1"/>
      <c r="AM24" s="1"/>
      <c r="AN24" s="44">
        <f t="shared" si="0"/>
        <v>0</v>
      </c>
      <c r="AO24" s="45">
        <f t="shared" si="1"/>
        <v>0</v>
      </c>
      <c r="AP24" s="66"/>
    </row>
    <row r="25" spans="1:42" ht="12.75">
      <c r="A25" s="2">
        <v>21</v>
      </c>
      <c r="B25" s="2">
        <v>21</v>
      </c>
      <c r="C25" s="2" t="s">
        <v>1319</v>
      </c>
      <c r="D25" s="2" t="s">
        <v>6</v>
      </c>
      <c r="E25" s="2">
        <v>1</v>
      </c>
      <c r="F25" s="2" t="s">
        <v>1325</v>
      </c>
      <c r="G25" s="2" t="s">
        <v>1326</v>
      </c>
      <c r="H25" s="2" t="s">
        <v>2508</v>
      </c>
      <c r="I25" s="1" t="s">
        <v>4166</v>
      </c>
      <c r="J25" s="1" t="s">
        <v>4127</v>
      </c>
      <c r="K25" s="63">
        <v>29104391</v>
      </c>
      <c r="L25" s="1" t="s">
        <v>2438</v>
      </c>
      <c r="M25" s="1">
        <v>3447000</v>
      </c>
      <c r="N25" s="1" t="s">
        <v>3735</v>
      </c>
      <c r="O25" s="1" t="s">
        <v>4181</v>
      </c>
      <c r="P25" s="1">
        <v>3428</v>
      </c>
      <c r="Q25" s="64">
        <v>43073</v>
      </c>
      <c r="R25" s="64">
        <v>46724</v>
      </c>
      <c r="S25" s="62" t="s">
        <v>2440</v>
      </c>
      <c r="T25" s="1" t="s">
        <v>2442</v>
      </c>
      <c r="U25" s="9" t="s">
        <v>2447</v>
      </c>
      <c r="V25" s="2" t="s">
        <v>3341</v>
      </c>
      <c r="W25" s="2" t="s">
        <v>3342</v>
      </c>
      <c r="X25" s="2">
        <v>2859</v>
      </c>
      <c r="Y25" s="60">
        <v>87790.78</v>
      </c>
      <c r="Z25" s="60">
        <v>96675.7</v>
      </c>
      <c r="AA25" s="2" t="s">
        <v>3741</v>
      </c>
      <c r="AB25" s="66"/>
      <c r="AC25" s="66"/>
      <c r="AD25" s="66"/>
      <c r="AE25" s="66"/>
      <c r="AF25" s="66"/>
      <c r="AG25" s="66"/>
      <c r="AH25" s="43"/>
      <c r="AI25" s="43"/>
      <c r="AJ25" s="2"/>
      <c r="AK25" s="1"/>
      <c r="AL25" s="1"/>
      <c r="AM25" s="1"/>
      <c r="AN25" s="44">
        <f t="shared" si="0"/>
        <v>0</v>
      </c>
      <c r="AO25" s="45">
        <f t="shared" si="1"/>
        <v>0</v>
      </c>
      <c r="AP25" s="13" t="s">
        <v>2405</v>
      </c>
    </row>
    <row r="26" spans="1:42" ht="12.75">
      <c r="A26" s="2">
        <v>22</v>
      </c>
      <c r="B26" s="2">
        <v>22</v>
      </c>
      <c r="C26" s="2" t="s">
        <v>1319</v>
      </c>
      <c r="D26" s="2" t="s">
        <v>6</v>
      </c>
      <c r="E26" s="2">
        <v>1</v>
      </c>
      <c r="F26" s="2" t="s">
        <v>1327</v>
      </c>
      <c r="G26" s="2" t="s">
        <v>1328</v>
      </c>
      <c r="H26" s="2" t="s">
        <v>2508</v>
      </c>
      <c r="I26" s="1" t="s">
        <v>4166</v>
      </c>
      <c r="J26" s="1" t="s">
        <v>4127</v>
      </c>
      <c r="K26" s="63">
        <v>29104391</v>
      </c>
      <c r="L26" s="1" t="s">
        <v>2438</v>
      </c>
      <c r="M26" s="1">
        <v>3447000</v>
      </c>
      <c r="N26" s="1" t="s">
        <v>3735</v>
      </c>
      <c r="O26" s="1" t="s">
        <v>4181</v>
      </c>
      <c r="P26" s="1">
        <v>3428</v>
      </c>
      <c r="Q26" s="64">
        <v>43073</v>
      </c>
      <c r="R26" s="64">
        <v>46724</v>
      </c>
      <c r="S26" s="62" t="s">
        <v>2440</v>
      </c>
      <c r="T26" s="1" t="s">
        <v>2442</v>
      </c>
      <c r="U26" s="9" t="s">
        <v>2445</v>
      </c>
      <c r="V26" s="2" t="s">
        <v>3343</v>
      </c>
      <c r="W26" s="2" t="s">
        <v>3344</v>
      </c>
      <c r="X26" s="2">
        <v>2853</v>
      </c>
      <c r="Y26" s="60">
        <v>87864.45</v>
      </c>
      <c r="Z26" s="60">
        <v>96589.87</v>
      </c>
      <c r="AA26" s="2" t="s">
        <v>3741</v>
      </c>
      <c r="AB26" s="66"/>
      <c r="AC26" s="66"/>
      <c r="AD26" s="66"/>
      <c r="AE26" s="66"/>
      <c r="AF26" s="66"/>
      <c r="AG26" s="66"/>
      <c r="AH26" s="43"/>
      <c r="AI26" s="43"/>
      <c r="AJ26" s="2"/>
      <c r="AK26" s="1"/>
      <c r="AL26" s="1"/>
      <c r="AM26" s="1"/>
      <c r="AN26" s="44">
        <f t="shared" si="0"/>
        <v>0</v>
      </c>
      <c r="AO26" s="45">
        <f t="shared" si="1"/>
        <v>0</v>
      </c>
      <c r="AP26" s="13" t="s">
        <v>2405</v>
      </c>
    </row>
    <row r="27" spans="1:42" ht="40.5" customHeight="1">
      <c r="A27" s="2">
        <v>23</v>
      </c>
      <c r="B27" s="2">
        <v>23</v>
      </c>
      <c r="C27" s="2" t="s">
        <v>1319</v>
      </c>
      <c r="D27" s="2" t="s">
        <v>6</v>
      </c>
      <c r="E27" s="2">
        <v>1</v>
      </c>
      <c r="F27" s="2" t="s">
        <v>1329</v>
      </c>
      <c r="G27" s="2" t="s">
        <v>1323</v>
      </c>
      <c r="H27" s="2" t="s">
        <v>2508</v>
      </c>
      <c r="I27" s="1" t="s">
        <v>4166</v>
      </c>
      <c r="J27" s="1" t="s">
        <v>4127</v>
      </c>
      <c r="K27" s="63">
        <v>29104391</v>
      </c>
      <c r="L27" s="1" t="s">
        <v>2438</v>
      </c>
      <c r="M27" s="1">
        <v>3447000</v>
      </c>
      <c r="N27" s="1" t="s">
        <v>3735</v>
      </c>
      <c r="O27" s="1" t="s">
        <v>4181</v>
      </c>
      <c r="P27" s="1">
        <v>3428</v>
      </c>
      <c r="Q27" s="64">
        <v>43073</v>
      </c>
      <c r="R27" s="64">
        <v>46724</v>
      </c>
      <c r="S27" s="62" t="s">
        <v>2440</v>
      </c>
      <c r="T27" s="1" t="s">
        <v>2442</v>
      </c>
      <c r="U27" s="9" t="s">
        <v>2480</v>
      </c>
      <c r="V27" s="2" t="s">
        <v>3345</v>
      </c>
      <c r="W27" s="2" t="s">
        <v>3346</v>
      </c>
      <c r="X27" s="2">
        <v>2840</v>
      </c>
      <c r="Y27" s="60">
        <v>87985.61</v>
      </c>
      <c r="Z27" s="60">
        <v>96429.5</v>
      </c>
      <c r="AA27" s="2" t="s">
        <v>3753</v>
      </c>
      <c r="AB27" s="104">
        <v>43676</v>
      </c>
      <c r="AC27" s="82" t="s">
        <v>2462</v>
      </c>
      <c r="AD27" s="82">
        <v>2</v>
      </c>
      <c r="AE27" s="82">
        <v>11</v>
      </c>
      <c r="AF27" s="133">
        <f>(0.715+0.762+0.806+0.785+0.744)/5</f>
        <v>0.7624000000000001</v>
      </c>
      <c r="AG27" s="82">
        <v>24</v>
      </c>
      <c r="AH27" s="102">
        <f>AF27*AD27*AG27*0.0036</f>
        <v>0.13174272</v>
      </c>
      <c r="AI27" s="102">
        <f>AF27*AE27*AG27*0.0036</f>
        <v>0.72458496</v>
      </c>
      <c r="AJ27" s="2">
        <v>30</v>
      </c>
      <c r="AK27" s="1">
        <v>12</v>
      </c>
      <c r="AL27" s="1">
        <v>0.75</v>
      </c>
      <c r="AM27" s="1">
        <v>0.82</v>
      </c>
      <c r="AN27" s="44">
        <f t="shared" si="0"/>
        <v>35.5705344</v>
      </c>
      <c r="AO27" s="45">
        <f t="shared" si="1"/>
        <v>213.897480192</v>
      </c>
      <c r="AP27" s="13" t="s">
        <v>2405</v>
      </c>
    </row>
    <row r="28" spans="1:42" ht="48.75" customHeight="1">
      <c r="A28" s="2">
        <v>24</v>
      </c>
      <c r="B28" s="2">
        <v>24</v>
      </c>
      <c r="C28" s="2" t="s">
        <v>1319</v>
      </c>
      <c r="D28" s="2" t="s">
        <v>6</v>
      </c>
      <c r="E28" s="2">
        <v>1</v>
      </c>
      <c r="F28" s="2" t="s">
        <v>1330</v>
      </c>
      <c r="G28" s="2" t="s">
        <v>1331</v>
      </c>
      <c r="H28" s="2" t="s">
        <v>2508</v>
      </c>
      <c r="I28" s="1" t="s">
        <v>4166</v>
      </c>
      <c r="J28" s="1" t="s">
        <v>4127</v>
      </c>
      <c r="K28" s="63">
        <v>29104391</v>
      </c>
      <c r="L28" s="1" t="s">
        <v>2438</v>
      </c>
      <c r="M28" s="1">
        <v>3447000</v>
      </c>
      <c r="N28" s="1" t="s">
        <v>3735</v>
      </c>
      <c r="O28" s="1" t="s">
        <v>4181</v>
      </c>
      <c r="P28" s="1">
        <v>3428</v>
      </c>
      <c r="Q28" s="64">
        <v>43073</v>
      </c>
      <c r="R28" s="64">
        <v>46724</v>
      </c>
      <c r="S28" s="62" t="s">
        <v>2440</v>
      </c>
      <c r="T28" s="1" t="s">
        <v>2442</v>
      </c>
      <c r="U28" s="9" t="s">
        <v>2444</v>
      </c>
      <c r="V28" s="2" t="s">
        <v>3347</v>
      </c>
      <c r="W28" s="2" t="s">
        <v>3348</v>
      </c>
      <c r="X28" s="2">
        <v>2809</v>
      </c>
      <c r="Y28" s="60">
        <v>87929.95</v>
      </c>
      <c r="Z28" s="60">
        <v>96223.83</v>
      </c>
      <c r="AA28" s="2" t="s">
        <v>4176</v>
      </c>
      <c r="AB28" s="83">
        <v>43650</v>
      </c>
      <c r="AC28" s="13" t="s">
        <v>2477</v>
      </c>
      <c r="AD28" s="2">
        <v>311</v>
      </c>
      <c r="AE28" s="2">
        <v>333</v>
      </c>
      <c r="AF28" s="49">
        <v>1.67</v>
      </c>
      <c r="AG28" s="2">
        <v>24</v>
      </c>
      <c r="AH28" s="43">
        <f>AF28*AD28*AG28*0.0036</f>
        <v>44.873568000000006</v>
      </c>
      <c r="AI28" s="43">
        <f>AF28*AE28*AG28*0.0036</f>
        <v>48.047903999999996</v>
      </c>
      <c r="AJ28" s="2">
        <v>30</v>
      </c>
      <c r="AK28" s="1">
        <v>12</v>
      </c>
      <c r="AL28" s="1">
        <v>0.77</v>
      </c>
      <c r="AM28" s="1">
        <v>0.8</v>
      </c>
      <c r="AN28" s="44">
        <f t="shared" si="0"/>
        <v>12438.953049600002</v>
      </c>
      <c r="AO28" s="45">
        <f t="shared" si="1"/>
        <v>13837.796352</v>
      </c>
      <c r="AP28" s="13" t="s">
        <v>2405</v>
      </c>
    </row>
    <row r="29" spans="1:42" ht="39" customHeight="1">
      <c r="A29" s="2">
        <v>25</v>
      </c>
      <c r="B29" s="2">
        <v>25</v>
      </c>
      <c r="C29" s="2" t="s">
        <v>1319</v>
      </c>
      <c r="D29" s="2" t="s">
        <v>6</v>
      </c>
      <c r="E29" s="2">
        <v>1</v>
      </c>
      <c r="F29" s="2" t="s">
        <v>1332</v>
      </c>
      <c r="G29" s="2" t="s">
        <v>1333</v>
      </c>
      <c r="H29" s="2" t="s">
        <v>2508</v>
      </c>
      <c r="I29" s="1" t="s">
        <v>4166</v>
      </c>
      <c r="J29" s="1" t="s">
        <v>4127</v>
      </c>
      <c r="K29" s="63">
        <v>29104391</v>
      </c>
      <c r="L29" s="1" t="s">
        <v>2438</v>
      </c>
      <c r="M29" s="1">
        <v>3447000</v>
      </c>
      <c r="N29" s="1" t="s">
        <v>3735</v>
      </c>
      <c r="O29" s="1" t="s">
        <v>4181</v>
      </c>
      <c r="P29" s="1">
        <v>3428</v>
      </c>
      <c r="Q29" s="64">
        <v>43073</v>
      </c>
      <c r="R29" s="64">
        <v>46724</v>
      </c>
      <c r="S29" s="62" t="s">
        <v>2440</v>
      </c>
      <c r="T29" s="29" t="s">
        <v>2441</v>
      </c>
      <c r="U29" s="9" t="s">
        <v>2443</v>
      </c>
      <c r="V29" s="2" t="s">
        <v>3349</v>
      </c>
      <c r="W29" s="2" t="s">
        <v>3350</v>
      </c>
      <c r="X29" s="2">
        <v>2785</v>
      </c>
      <c r="Y29" s="60">
        <v>87957.352</v>
      </c>
      <c r="Z29" s="60">
        <v>95944.853</v>
      </c>
      <c r="AA29" s="2" t="s">
        <v>3753</v>
      </c>
      <c r="AB29" s="104">
        <v>43677</v>
      </c>
      <c r="AC29" s="82" t="s">
        <v>2412</v>
      </c>
      <c r="AD29" s="82">
        <v>47</v>
      </c>
      <c r="AE29" s="82">
        <v>37</v>
      </c>
      <c r="AF29" s="133">
        <f>(0.249+0.256+0.264+0.261+0.253)/5</f>
        <v>0.2566</v>
      </c>
      <c r="AG29" s="2">
        <v>24</v>
      </c>
      <c r="AH29" s="102">
        <f>AF29*AD29*AG29*0.0036</f>
        <v>1.04200128</v>
      </c>
      <c r="AI29" s="102">
        <f>AF29*AE29*AG29*0.0036</f>
        <v>0.82029888</v>
      </c>
      <c r="AJ29" s="2">
        <v>30</v>
      </c>
      <c r="AK29" s="1">
        <v>12</v>
      </c>
      <c r="AL29" s="1">
        <v>0.68</v>
      </c>
      <c r="AM29" s="1">
        <v>0.69</v>
      </c>
      <c r="AN29" s="44">
        <f t="shared" si="0"/>
        <v>255.08191334400001</v>
      </c>
      <c r="AO29" s="45">
        <f t="shared" si="1"/>
        <v>203.762241792</v>
      </c>
      <c r="AP29" s="82" t="s">
        <v>2405</v>
      </c>
    </row>
    <row r="30" spans="1:42" ht="12.75">
      <c r="A30" s="2">
        <v>26</v>
      </c>
      <c r="B30" s="2">
        <v>26</v>
      </c>
      <c r="C30" s="2" t="s">
        <v>1319</v>
      </c>
      <c r="D30" s="2" t="s">
        <v>6</v>
      </c>
      <c r="E30" s="2">
        <v>1</v>
      </c>
      <c r="F30" s="2" t="s">
        <v>1334</v>
      </c>
      <c r="G30" s="2" t="s">
        <v>1335</v>
      </c>
      <c r="H30" s="2" t="s">
        <v>2508</v>
      </c>
      <c r="I30" s="1" t="s">
        <v>4166</v>
      </c>
      <c r="J30" s="1" t="s">
        <v>4127</v>
      </c>
      <c r="K30" s="63">
        <v>29104391</v>
      </c>
      <c r="L30" s="1" t="s">
        <v>2438</v>
      </c>
      <c r="M30" s="1">
        <v>3447000</v>
      </c>
      <c r="N30" s="1" t="s">
        <v>3735</v>
      </c>
      <c r="O30" s="1" t="s">
        <v>4181</v>
      </c>
      <c r="P30" s="1">
        <v>3428</v>
      </c>
      <c r="Q30" s="64">
        <v>43073</v>
      </c>
      <c r="R30" s="64">
        <v>46724</v>
      </c>
      <c r="S30" s="62" t="s">
        <v>2440</v>
      </c>
      <c r="T30" s="62" t="s">
        <v>2441</v>
      </c>
      <c r="U30" s="9" t="s">
        <v>2444</v>
      </c>
      <c r="V30" s="2" t="s">
        <v>3351</v>
      </c>
      <c r="W30" s="2" t="s">
        <v>3352</v>
      </c>
      <c r="X30" s="2">
        <v>2772</v>
      </c>
      <c r="Y30" s="60">
        <v>87978.27</v>
      </c>
      <c r="Z30" s="60">
        <v>95812.76</v>
      </c>
      <c r="AA30" s="2" t="s">
        <v>3741</v>
      </c>
      <c r="AB30" s="66"/>
      <c r="AC30" s="66"/>
      <c r="AD30" s="66"/>
      <c r="AE30" s="66"/>
      <c r="AF30" s="66"/>
      <c r="AG30" s="66"/>
      <c r="AH30" s="43"/>
      <c r="AI30" s="43"/>
      <c r="AJ30" s="2"/>
      <c r="AK30" s="1"/>
      <c r="AL30" s="1"/>
      <c r="AM30" s="1"/>
      <c r="AN30" s="44">
        <f t="shared" si="0"/>
        <v>0</v>
      </c>
      <c r="AO30" s="45">
        <f t="shared" si="1"/>
        <v>0</v>
      </c>
      <c r="AP30" s="13" t="s">
        <v>2405</v>
      </c>
    </row>
    <row r="31" spans="1:42" ht="12.75">
      <c r="A31" s="2">
        <v>27</v>
      </c>
      <c r="B31" s="2">
        <v>27</v>
      </c>
      <c r="C31" s="2" t="s">
        <v>1319</v>
      </c>
      <c r="D31" s="2" t="s">
        <v>6</v>
      </c>
      <c r="E31" s="2">
        <v>1</v>
      </c>
      <c r="F31" s="2" t="s">
        <v>1336</v>
      </c>
      <c r="G31" s="2" t="s">
        <v>1337</v>
      </c>
      <c r="H31" s="2" t="s">
        <v>2508</v>
      </c>
      <c r="I31" s="1" t="s">
        <v>4166</v>
      </c>
      <c r="J31" s="1" t="s">
        <v>4127</v>
      </c>
      <c r="K31" s="63">
        <v>29104391</v>
      </c>
      <c r="L31" s="1" t="s">
        <v>2438</v>
      </c>
      <c r="M31" s="1">
        <v>3447000</v>
      </c>
      <c r="N31" s="1" t="s">
        <v>3735</v>
      </c>
      <c r="O31" s="1" t="s">
        <v>4181</v>
      </c>
      <c r="P31" s="1">
        <v>3428</v>
      </c>
      <c r="Q31" s="64">
        <v>43073</v>
      </c>
      <c r="R31" s="64">
        <v>46724</v>
      </c>
      <c r="S31" s="62" t="s">
        <v>2440</v>
      </c>
      <c r="T31" s="62" t="s">
        <v>2441</v>
      </c>
      <c r="U31" s="9" t="s">
        <v>2447</v>
      </c>
      <c r="V31" s="2" t="s">
        <v>3353</v>
      </c>
      <c r="W31" s="2" t="s">
        <v>3354</v>
      </c>
      <c r="X31" s="2">
        <v>2761</v>
      </c>
      <c r="Y31" s="60">
        <v>87980.2</v>
      </c>
      <c r="Z31" s="60">
        <v>95721.9</v>
      </c>
      <c r="AA31" s="2" t="s">
        <v>3741</v>
      </c>
      <c r="AB31" s="66"/>
      <c r="AC31" s="66"/>
      <c r="AD31" s="66"/>
      <c r="AE31" s="66"/>
      <c r="AF31" s="66"/>
      <c r="AG31" s="66"/>
      <c r="AH31" s="43"/>
      <c r="AI31" s="43"/>
      <c r="AJ31" s="2"/>
      <c r="AK31" s="1"/>
      <c r="AL31" s="1"/>
      <c r="AM31" s="1"/>
      <c r="AN31" s="44">
        <f t="shared" si="0"/>
        <v>0</v>
      </c>
      <c r="AO31" s="45">
        <f t="shared" si="1"/>
        <v>0</v>
      </c>
      <c r="AP31" s="13" t="s">
        <v>2405</v>
      </c>
    </row>
    <row r="32" spans="1:42" ht="12.75">
      <c r="A32" s="2">
        <v>28</v>
      </c>
      <c r="B32" s="2">
        <v>28</v>
      </c>
      <c r="C32" s="2" t="s">
        <v>1319</v>
      </c>
      <c r="D32" s="2" t="s">
        <v>6</v>
      </c>
      <c r="E32" s="2">
        <v>1</v>
      </c>
      <c r="F32" s="2" t="s">
        <v>1338</v>
      </c>
      <c r="G32" s="2" t="s">
        <v>1339</v>
      </c>
      <c r="H32" s="2" t="s">
        <v>2508</v>
      </c>
      <c r="I32" s="1" t="s">
        <v>4166</v>
      </c>
      <c r="J32" s="1" t="s">
        <v>4127</v>
      </c>
      <c r="K32" s="63">
        <v>29104391</v>
      </c>
      <c r="L32" s="1" t="s">
        <v>2438</v>
      </c>
      <c r="M32" s="1">
        <v>3447000</v>
      </c>
      <c r="N32" s="1" t="s">
        <v>3735</v>
      </c>
      <c r="O32" s="1" t="s">
        <v>4181</v>
      </c>
      <c r="P32" s="1">
        <v>3428</v>
      </c>
      <c r="Q32" s="64">
        <v>43073</v>
      </c>
      <c r="R32" s="64">
        <v>46724</v>
      </c>
      <c r="S32" s="62" t="s">
        <v>2440</v>
      </c>
      <c r="T32" s="30" t="s">
        <v>2436</v>
      </c>
      <c r="U32" s="9" t="s">
        <v>2443</v>
      </c>
      <c r="V32" s="2" t="s">
        <v>3355</v>
      </c>
      <c r="W32" s="2" t="s">
        <v>3356</v>
      </c>
      <c r="X32" s="2">
        <v>2755</v>
      </c>
      <c r="Y32" s="60">
        <v>87976.546</v>
      </c>
      <c r="Z32" s="60">
        <v>95682.68</v>
      </c>
      <c r="AA32" s="2" t="s">
        <v>3741</v>
      </c>
      <c r="AB32" s="66"/>
      <c r="AC32" s="66"/>
      <c r="AD32" s="66"/>
      <c r="AE32" s="66"/>
      <c r="AF32" s="66"/>
      <c r="AG32" s="66"/>
      <c r="AH32" s="43"/>
      <c r="AI32" s="43"/>
      <c r="AJ32" s="2"/>
      <c r="AK32" s="1"/>
      <c r="AL32" s="1"/>
      <c r="AM32" s="1"/>
      <c r="AN32" s="44">
        <f t="shared" si="0"/>
        <v>0</v>
      </c>
      <c r="AO32" s="45">
        <f t="shared" si="1"/>
        <v>0</v>
      </c>
      <c r="AP32" s="66"/>
    </row>
    <row r="33" spans="1:42" ht="36" customHeight="1">
      <c r="A33" s="2">
        <v>29</v>
      </c>
      <c r="B33" s="2">
        <v>29</v>
      </c>
      <c r="C33" s="2" t="s">
        <v>1319</v>
      </c>
      <c r="D33" s="2" t="s">
        <v>6</v>
      </c>
      <c r="E33" s="2">
        <v>1</v>
      </c>
      <c r="F33" s="2" t="s">
        <v>1340</v>
      </c>
      <c r="G33" s="2" t="s">
        <v>1341</v>
      </c>
      <c r="H33" s="2" t="s">
        <v>2508</v>
      </c>
      <c r="I33" s="1" t="s">
        <v>4166</v>
      </c>
      <c r="J33" s="1" t="s">
        <v>4127</v>
      </c>
      <c r="K33" s="63">
        <v>29104391</v>
      </c>
      <c r="L33" s="1" t="s">
        <v>2438</v>
      </c>
      <c r="M33" s="1">
        <v>3447000</v>
      </c>
      <c r="N33" s="1" t="s">
        <v>3735</v>
      </c>
      <c r="O33" s="1" t="s">
        <v>4181</v>
      </c>
      <c r="P33" s="1">
        <v>3428</v>
      </c>
      <c r="Q33" s="64">
        <v>43073</v>
      </c>
      <c r="R33" s="64">
        <v>46724</v>
      </c>
      <c r="S33" s="62" t="s">
        <v>2440</v>
      </c>
      <c r="T33" s="62" t="s">
        <v>2441</v>
      </c>
      <c r="U33" s="9" t="s">
        <v>2443</v>
      </c>
      <c r="V33" s="2" t="s">
        <v>3357</v>
      </c>
      <c r="W33" s="2" t="s">
        <v>3358</v>
      </c>
      <c r="X33" s="2">
        <v>2713</v>
      </c>
      <c r="Y33" s="60">
        <v>87997.3</v>
      </c>
      <c r="Z33" s="60">
        <v>95435.52</v>
      </c>
      <c r="AA33" s="2" t="s">
        <v>3753</v>
      </c>
      <c r="AB33" s="104">
        <v>43689</v>
      </c>
      <c r="AC33" s="82" t="s">
        <v>2412</v>
      </c>
      <c r="AD33" s="82">
        <v>87</v>
      </c>
      <c r="AE33" s="82">
        <v>80</v>
      </c>
      <c r="AF33" s="133">
        <f>(0.192+0.194+0.129+0.123+0.159)/5</f>
        <v>0.15940000000000001</v>
      </c>
      <c r="AG33" s="2">
        <v>24</v>
      </c>
      <c r="AH33" s="102">
        <f>AF33*AD33*AG33*0.0036</f>
        <v>1.19817792</v>
      </c>
      <c r="AI33" s="102">
        <f>AF33*AE33*AG33*0.0036</f>
        <v>1.1017728</v>
      </c>
      <c r="AJ33" s="2">
        <v>30</v>
      </c>
      <c r="AK33" s="1">
        <v>12</v>
      </c>
      <c r="AL33" s="1">
        <v>0.68</v>
      </c>
      <c r="AM33" s="1">
        <v>0.69</v>
      </c>
      <c r="AN33" s="44">
        <f t="shared" si="0"/>
        <v>293.31395481600003</v>
      </c>
      <c r="AO33" s="45">
        <f t="shared" si="1"/>
        <v>273.68036352</v>
      </c>
      <c r="AP33" s="13" t="s">
        <v>2405</v>
      </c>
    </row>
    <row r="34" spans="1:42" ht="12.75">
      <c r="A34" s="2">
        <v>30</v>
      </c>
      <c r="B34" s="2">
        <v>30</v>
      </c>
      <c r="C34" s="2" t="s">
        <v>1319</v>
      </c>
      <c r="D34" s="2" t="s">
        <v>6</v>
      </c>
      <c r="E34" s="2">
        <v>1</v>
      </c>
      <c r="F34" s="2" t="s">
        <v>1342</v>
      </c>
      <c r="G34" s="2" t="s">
        <v>1341</v>
      </c>
      <c r="H34" s="2" t="s">
        <v>2508</v>
      </c>
      <c r="I34" s="1" t="s">
        <v>4166</v>
      </c>
      <c r="J34" s="1" t="s">
        <v>4127</v>
      </c>
      <c r="K34" s="63">
        <v>29104391</v>
      </c>
      <c r="L34" s="1" t="s">
        <v>2438</v>
      </c>
      <c r="M34" s="1">
        <v>3447000</v>
      </c>
      <c r="N34" s="1" t="s">
        <v>3735</v>
      </c>
      <c r="O34" s="1" t="s">
        <v>4181</v>
      </c>
      <c r="P34" s="1">
        <v>3428</v>
      </c>
      <c r="Q34" s="64">
        <v>43073</v>
      </c>
      <c r="R34" s="64">
        <v>46724</v>
      </c>
      <c r="S34" s="62" t="s">
        <v>2440</v>
      </c>
      <c r="T34" s="62" t="s">
        <v>2441</v>
      </c>
      <c r="U34" s="9" t="s">
        <v>2447</v>
      </c>
      <c r="V34" s="2" t="s">
        <v>3359</v>
      </c>
      <c r="W34" s="2" t="s">
        <v>3360</v>
      </c>
      <c r="X34" s="2">
        <v>2713</v>
      </c>
      <c r="Y34" s="60">
        <v>88003.02</v>
      </c>
      <c r="Z34" s="60">
        <v>95436.63</v>
      </c>
      <c r="AA34" s="2" t="s">
        <v>3741</v>
      </c>
      <c r="AB34" s="66"/>
      <c r="AC34" s="66"/>
      <c r="AD34" s="66"/>
      <c r="AE34" s="66"/>
      <c r="AF34" s="66"/>
      <c r="AG34" s="66"/>
      <c r="AH34" s="43"/>
      <c r="AI34" s="43"/>
      <c r="AJ34" s="2"/>
      <c r="AK34" s="1"/>
      <c r="AL34" s="1"/>
      <c r="AM34" s="1"/>
      <c r="AN34" s="44">
        <f t="shared" si="0"/>
        <v>0</v>
      </c>
      <c r="AO34" s="45">
        <f t="shared" si="1"/>
        <v>0</v>
      </c>
      <c r="AP34" s="13" t="s">
        <v>2405</v>
      </c>
    </row>
    <row r="35" spans="1:42" ht="12.75">
      <c r="A35" s="2">
        <v>31</v>
      </c>
      <c r="B35" s="2">
        <v>31</v>
      </c>
      <c r="C35" s="2" t="s">
        <v>1319</v>
      </c>
      <c r="D35" s="2" t="s">
        <v>6</v>
      </c>
      <c r="E35" s="2">
        <v>1</v>
      </c>
      <c r="F35" s="2" t="s">
        <v>1343</v>
      </c>
      <c r="G35" s="2" t="s">
        <v>1341</v>
      </c>
      <c r="H35" s="2" t="s">
        <v>2508</v>
      </c>
      <c r="I35" s="1" t="s">
        <v>4166</v>
      </c>
      <c r="J35" s="1" t="s">
        <v>4127</v>
      </c>
      <c r="K35" s="63">
        <v>29104391</v>
      </c>
      <c r="L35" s="1" t="s">
        <v>2438</v>
      </c>
      <c r="M35" s="1">
        <v>3447000</v>
      </c>
      <c r="N35" s="1" t="s">
        <v>3735</v>
      </c>
      <c r="O35" s="1" t="s">
        <v>4181</v>
      </c>
      <c r="P35" s="1">
        <v>3428</v>
      </c>
      <c r="Q35" s="64">
        <v>43073</v>
      </c>
      <c r="R35" s="64">
        <v>46724</v>
      </c>
      <c r="S35" s="62" t="s">
        <v>2440</v>
      </c>
      <c r="T35" s="30" t="s">
        <v>2436</v>
      </c>
      <c r="U35" s="9" t="s">
        <v>2443</v>
      </c>
      <c r="V35" s="2" t="s">
        <v>3361</v>
      </c>
      <c r="W35" s="2" t="s">
        <v>3362</v>
      </c>
      <c r="X35" s="2">
        <v>2717</v>
      </c>
      <c r="Y35" s="60">
        <v>88025.642</v>
      </c>
      <c r="Z35" s="60">
        <v>95449.433</v>
      </c>
      <c r="AA35" s="2" t="s">
        <v>3741</v>
      </c>
      <c r="AB35" s="66"/>
      <c r="AC35" s="66"/>
      <c r="AD35" s="66"/>
      <c r="AE35" s="66"/>
      <c r="AF35" s="66"/>
      <c r="AG35" s="66"/>
      <c r="AH35" s="43"/>
      <c r="AI35" s="43"/>
      <c r="AJ35" s="2"/>
      <c r="AK35" s="1"/>
      <c r="AL35" s="1"/>
      <c r="AM35" s="1"/>
      <c r="AN35" s="44">
        <f t="shared" si="0"/>
        <v>0</v>
      </c>
      <c r="AO35" s="45">
        <f t="shared" si="1"/>
        <v>0</v>
      </c>
      <c r="AP35" s="66"/>
    </row>
    <row r="36" spans="1:42" ht="12.75">
      <c r="A36" s="2">
        <v>32</v>
      </c>
      <c r="B36" s="2">
        <v>32</v>
      </c>
      <c r="C36" s="2" t="s">
        <v>1319</v>
      </c>
      <c r="D36" s="2" t="s">
        <v>6</v>
      </c>
      <c r="E36" s="2">
        <v>1</v>
      </c>
      <c r="F36" s="2" t="s">
        <v>1344</v>
      </c>
      <c r="G36" s="2" t="s">
        <v>1345</v>
      </c>
      <c r="H36" s="2" t="s">
        <v>2508</v>
      </c>
      <c r="I36" s="1" t="s">
        <v>4166</v>
      </c>
      <c r="J36" s="1" t="s">
        <v>4127</v>
      </c>
      <c r="K36" s="63">
        <v>29104391</v>
      </c>
      <c r="L36" s="1" t="s">
        <v>2438</v>
      </c>
      <c r="M36" s="1">
        <v>3447000</v>
      </c>
      <c r="N36" s="1" t="s">
        <v>3735</v>
      </c>
      <c r="O36" s="1" t="s">
        <v>4181</v>
      </c>
      <c r="P36" s="1">
        <v>3428</v>
      </c>
      <c r="Q36" s="64">
        <v>43073</v>
      </c>
      <c r="R36" s="64">
        <v>46724</v>
      </c>
      <c r="S36" s="62" t="s">
        <v>2440</v>
      </c>
      <c r="T36" s="1" t="s">
        <v>2442</v>
      </c>
      <c r="U36" s="9" t="s">
        <v>2444</v>
      </c>
      <c r="V36" s="2" t="s">
        <v>3363</v>
      </c>
      <c r="W36" s="2" t="s">
        <v>3364</v>
      </c>
      <c r="X36" s="2">
        <v>2669</v>
      </c>
      <c r="Y36" s="60">
        <v>87894.97</v>
      </c>
      <c r="Z36" s="60">
        <v>95205.89</v>
      </c>
      <c r="AA36" s="2" t="s">
        <v>3741</v>
      </c>
      <c r="AB36" s="66"/>
      <c r="AC36" s="66"/>
      <c r="AD36" s="66"/>
      <c r="AE36" s="66"/>
      <c r="AF36" s="66"/>
      <c r="AG36" s="66"/>
      <c r="AH36" s="43"/>
      <c r="AI36" s="43"/>
      <c r="AJ36" s="2"/>
      <c r="AK36" s="1"/>
      <c r="AL36" s="1"/>
      <c r="AM36" s="1"/>
      <c r="AN36" s="44">
        <f t="shared" si="0"/>
        <v>0</v>
      </c>
      <c r="AO36" s="45">
        <f t="shared" si="1"/>
        <v>0</v>
      </c>
      <c r="AP36" s="13" t="s">
        <v>2405</v>
      </c>
    </row>
    <row r="37" spans="1:42" ht="12.75">
      <c r="A37" s="2"/>
      <c r="B37" s="226" t="s">
        <v>2539</v>
      </c>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72"/>
      <c r="AO37" s="70"/>
      <c r="AP37" s="66"/>
    </row>
    <row r="38" spans="1:42" ht="12.75">
      <c r="A38" s="2"/>
      <c r="B38" s="227" t="s">
        <v>2540</v>
      </c>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73">
        <f>SUM(AN22:AN36)</f>
        <v>13022.919452160002</v>
      </c>
      <c r="AO38" s="73">
        <f>SUM(AO22:AO36)</f>
        <v>14529.136437503998</v>
      </c>
      <c r="AP38" s="66"/>
    </row>
    <row r="39" spans="1:42" ht="38.25">
      <c r="A39" s="2">
        <v>33</v>
      </c>
      <c r="B39" s="2">
        <v>33</v>
      </c>
      <c r="C39" s="2" t="s">
        <v>1346</v>
      </c>
      <c r="D39" s="2" t="s">
        <v>6</v>
      </c>
      <c r="E39" s="2">
        <v>1</v>
      </c>
      <c r="F39" s="2" t="s">
        <v>1347</v>
      </c>
      <c r="G39" s="2" t="s">
        <v>1348</v>
      </c>
      <c r="H39" s="2" t="s">
        <v>2508</v>
      </c>
      <c r="I39" s="1" t="s">
        <v>4166</v>
      </c>
      <c r="J39" s="1" t="s">
        <v>4127</v>
      </c>
      <c r="K39" s="63">
        <v>29104391</v>
      </c>
      <c r="L39" s="1" t="s">
        <v>2438</v>
      </c>
      <c r="M39" s="1">
        <v>3447000</v>
      </c>
      <c r="N39" s="1" t="s">
        <v>3735</v>
      </c>
      <c r="O39" s="1" t="s">
        <v>4181</v>
      </c>
      <c r="P39" s="1">
        <v>3428</v>
      </c>
      <c r="Q39" s="64">
        <v>43073</v>
      </c>
      <c r="R39" s="64">
        <v>46724</v>
      </c>
      <c r="S39" s="62" t="s">
        <v>2440</v>
      </c>
      <c r="T39" s="29" t="s">
        <v>2441</v>
      </c>
      <c r="U39" s="9" t="s">
        <v>2443</v>
      </c>
      <c r="V39" s="2" t="s">
        <v>3365</v>
      </c>
      <c r="W39" s="2" t="s">
        <v>3366</v>
      </c>
      <c r="X39" s="2">
        <v>2850</v>
      </c>
      <c r="Y39" s="60">
        <v>87458.622</v>
      </c>
      <c r="Z39" s="60">
        <v>97250.845</v>
      </c>
      <c r="AA39" s="2" t="s">
        <v>3741</v>
      </c>
      <c r="AB39" s="66"/>
      <c r="AC39" s="66"/>
      <c r="AD39" s="66"/>
      <c r="AE39" s="66"/>
      <c r="AF39" s="66"/>
      <c r="AG39" s="66"/>
      <c r="AH39" s="43"/>
      <c r="AI39" s="43"/>
      <c r="AJ39" s="2"/>
      <c r="AK39" s="1"/>
      <c r="AL39" s="1"/>
      <c r="AM39" s="1"/>
      <c r="AN39" s="44">
        <f t="shared" si="0"/>
        <v>0</v>
      </c>
      <c r="AO39" s="45">
        <f t="shared" si="1"/>
        <v>0</v>
      </c>
      <c r="AP39" s="66"/>
    </row>
    <row r="40" spans="1:42" ht="12.75">
      <c r="A40" s="2">
        <v>34</v>
      </c>
      <c r="B40" s="2">
        <v>34</v>
      </c>
      <c r="C40" s="2" t="s">
        <v>1349</v>
      </c>
      <c r="D40" s="2" t="s">
        <v>6</v>
      </c>
      <c r="E40" s="2">
        <v>1</v>
      </c>
      <c r="F40" s="2" t="s">
        <v>1350</v>
      </c>
      <c r="G40" s="2" t="s">
        <v>1351</v>
      </c>
      <c r="H40" s="2" t="s">
        <v>2508</v>
      </c>
      <c r="I40" s="1" t="s">
        <v>4166</v>
      </c>
      <c r="J40" s="1" t="s">
        <v>4127</v>
      </c>
      <c r="K40" s="63">
        <v>29104391</v>
      </c>
      <c r="L40" s="1" t="s">
        <v>2438</v>
      </c>
      <c r="M40" s="1">
        <v>3447000</v>
      </c>
      <c r="N40" s="1" t="s">
        <v>3735</v>
      </c>
      <c r="O40" s="1" t="s">
        <v>4181</v>
      </c>
      <c r="P40" s="1">
        <v>3428</v>
      </c>
      <c r="Q40" s="64">
        <v>43073</v>
      </c>
      <c r="R40" s="64">
        <v>46724</v>
      </c>
      <c r="S40" s="62" t="s">
        <v>2440</v>
      </c>
      <c r="T40" s="62" t="s">
        <v>2441</v>
      </c>
      <c r="U40" s="9" t="s">
        <v>2444</v>
      </c>
      <c r="V40" s="2" t="s">
        <v>3367</v>
      </c>
      <c r="W40" s="2" t="s">
        <v>3368</v>
      </c>
      <c r="X40" s="2">
        <v>2843</v>
      </c>
      <c r="Y40" s="60">
        <v>87542.19</v>
      </c>
      <c r="Z40" s="60">
        <v>96987.46</v>
      </c>
      <c r="AA40" s="2" t="s">
        <v>3741</v>
      </c>
      <c r="AB40" s="66"/>
      <c r="AC40" s="66"/>
      <c r="AD40" s="66"/>
      <c r="AE40" s="66"/>
      <c r="AF40" s="66"/>
      <c r="AG40" s="66"/>
      <c r="AH40" s="43"/>
      <c r="AI40" s="43"/>
      <c r="AJ40" s="2"/>
      <c r="AK40" s="1"/>
      <c r="AL40" s="1"/>
      <c r="AM40" s="1"/>
      <c r="AN40" s="44">
        <f t="shared" si="0"/>
        <v>0</v>
      </c>
      <c r="AO40" s="45">
        <f t="shared" si="1"/>
        <v>0</v>
      </c>
      <c r="AP40" s="82" t="s">
        <v>2405</v>
      </c>
    </row>
    <row r="41" spans="1:42" ht="12.75">
      <c r="A41" s="2">
        <v>35</v>
      </c>
      <c r="B41" s="2">
        <v>35</v>
      </c>
      <c r="C41" s="2" t="s">
        <v>1349</v>
      </c>
      <c r="D41" s="2" t="s">
        <v>6</v>
      </c>
      <c r="E41" s="2">
        <v>1</v>
      </c>
      <c r="F41" s="2" t="s">
        <v>1352</v>
      </c>
      <c r="G41" s="2" t="s">
        <v>1353</v>
      </c>
      <c r="H41" s="2" t="s">
        <v>2508</v>
      </c>
      <c r="I41" s="1" t="s">
        <v>4166</v>
      </c>
      <c r="J41" s="1" t="s">
        <v>4127</v>
      </c>
      <c r="K41" s="63">
        <v>29104391</v>
      </c>
      <c r="L41" s="1" t="s">
        <v>2438</v>
      </c>
      <c r="M41" s="1">
        <v>3447000</v>
      </c>
      <c r="N41" s="1" t="s">
        <v>3735</v>
      </c>
      <c r="O41" s="1" t="s">
        <v>4181</v>
      </c>
      <c r="P41" s="1">
        <v>3428</v>
      </c>
      <c r="Q41" s="64">
        <v>43073</v>
      </c>
      <c r="R41" s="64">
        <v>46724</v>
      </c>
      <c r="S41" s="62" t="s">
        <v>2440</v>
      </c>
      <c r="T41" s="62" t="s">
        <v>2441</v>
      </c>
      <c r="U41" s="9" t="s">
        <v>2444</v>
      </c>
      <c r="V41" s="2" t="s">
        <v>3369</v>
      </c>
      <c r="W41" s="2" t="s">
        <v>3370</v>
      </c>
      <c r="X41" s="2">
        <v>2841</v>
      </c>
      <c r="Y41" s="60">
        <v>87534.19</v>
      </c>
      <c r="Z41" s="60">
        <v>96951.07</v>
      </c>
      <c r="AA41" s="2" t="s">
        <v>3741</v>
      </c>
      <c r="AB41" s="66"/>
      <c r="AC41" s="66"/>
      <c r="AD41" s="66"/>
      <c r="AE41" s="66"/>
      <c r="AF41" s="66"/>
      <c r="AG41" s="66"/>
      <c r="AH41" s="43"/>
      <c r="AI41" s="43"/>
      <c r="AJ41" s="2"/>
      <c r="AK41" s="1"/>
      <c r="AL41" s="1"/>
      <c r="AM41" s="1"/>
      <c r="AN41" s="44">
        <f t="shared" si="0"/>
        <v>0</v>
      </c>
      <c r="AO41" s="45">
        <f t="shared" si="1"/>
        <v>0</v>
      </c>
      <c r="AP41" s="82" t="s">
        <v>2405</v>
      </c>
    </row>
    <row r="42" spans="1:42" ht="12.75">
      <c r="A42" s="2">
        <v>36</v>
      </c>
      <c r="B42" s="2">
        <v>36</v>
      </c>
      <c r="C42" s="2" t="s">
        <v>1349</v>
      </c>
      <c r="D42" s="2" t="s">
        <v>6</v>
      </c>
      <c r="E42" s="2">
        <v>1</v>
      </c>
      <c r="F42" s="2" t="s">
        <v>1354</v>
      </c>
      <c r="G42" s="2" t="s">
        <v>1353</v>
      </c>
      <c r="H42" s="2" t="s">
        <v>2508</v>
      </c>
      <c r="I42" s="1" t="s">
        <v>4166</v>
      </c>
      <c r="J42" s="1" t="s">
        <v>4127</v>
      </c>
      <c r="K42" s="63">
        <v>29104391</v>
      </c>
      <c r="L42" s="1" t="s">
        <v>2438</v>
      </c>
      <c r="M42" s="1">
        <v>3447000</v>
      </c>
      <c r="N42" s="1" t="s">
        <v>3735</v>
      </c>
      <c r="O42" s="1" t="s">
        <v>4181</v>
      </c>
      <c r="P42" s="1">
        <v>3428</v>
      </c>
      <c r="Q42" s="64">
        <v>43073</v>
      </c>
      <c r="R42" s="64">
        <v>46724</v>
      </c>
      <c r="S42" s="62" t="s">
        <v>2440</v>
      </c>
      <c r="T42" s="62" t="s">
        <v>2441</v>
      </c>
      <c r="U42" s="9" t="s">
        <v>2444</v>
      </c>
      <c r="V42" s="2" t="s">
        <v>3371</v>
      </c>
      <c r="W42" s="2" t="s">
        <v>3372</v>
      </c>
      <c r="X42" s="2">
        <v>2839</v>
      </c>
      <c r="Y42" s="60">
        <v>87506.84</v>
      </c>
      <c r="Z42" s="60">
        <v>96906.97</v>
      </c>
      <c r="AA42" s="2" t="s">
        <v>3741</v>
      </c>
      <c r="AB42" s="66"/>
      <c r="AC42" s="66"/>
      <c r="AD42" s="66"/>
      <c r="AE42" s="66"/>
      <c r="AF42" s="66"/>
      <c r="AG42" s="66"/>
      <c r="AH42" s="43"/>
      <c r="AI42" s="43"/>
      <c r="AJ42" s="2"/>
      <c r="AK42" s="1"/>
      <c r="AL42" s="1"/>
      <c r="AM42" s="1"/>
      <c r="AN42" s="44">
        <f t="shared" si="0"/>
        <v>0</v>
      </c>
      <c r="AO42" s="45">
        <f t="shared" si="1"/>
        <v>0</v>
      </c>
      <c r="AP42" s="82" t="s">
        <v>2405</v>
      </c>
    </row>
    <row r="43" spans="1:42" ht="25.5">
      <c r="A43" s="2">
        <v>37</v>
      </c>
      <c r="B43" s="2">
        <v>37</v>
      </c>
      <c r="C43" s="2" t="s">
        <v>1349</v>
      </c>
      <c r="D43" s="2" t="s">
        <v>6</v>
      </c>
      <c r="E43" s="2">
        <v>1</v>
      </c>
      <c r="F43" s="2" t="s">
        <v>1355</v>
      </c>
      <c r="G43" s="2" t="s">
        <v>1356</v>
      </c>
      <c r="H43" s="2" t="s">
        <v>2508</v>
      </c>
      <c r="I43" s="1" t="s">
        <v>4166</v>
      </c>
      <c r="J43" s="1" t="s">
        <v>4127</v>
      </c>
      <c r="K43" s="63">
        <v>29104391</v>
      </c>
      <c r="L43" s="1" t="s">
        <v>2438</v>
      </c>
      <c r="M43" s="1">
        <v>3447000</v>
      </c>
      <c r="N43" s="1" t="s">
        <v>3735</v>
      </c>
      <c r="O43" s="1" t="s">
        <v>4181</v>
      </c>
      <c r="P43" s="1">
        <v>3428</v>
      </c>
      <c r="Q43" s="64">
        <v>43073</v>
      </c>
      <c r="R43" s="64">
        <v>46724</v>
      </c>
      <c r="S43" s="62" t="s">
        <v>2440</v>
      </c>
      <c r="T43" s="29" t="s">
        <v>2442</v>
      </c>
      <c r="U43" s="9" t="s">
        <v>2444</v>
      </c>
      <c r="V43" s="2" t="s">
        <v>3373</v>
      </c>
      <c r="W43" s="2" t="s">
        <v>1473</v>
      </c>
      <c r="X43" s="2">
        <v>2761</v>
      </c>
      <c r="Y43" s="60">
        <v>87134.059</v>
      </c>
      <c r="Z43" s="60">
        <v>96181.622</v>
      </c>
      <c r="AA43" s="2" t="s">
        <v>3741</v>
      </c>
      <c r="AB43" s="66"/>
      <c r="AC43" s="66"/>
      <c r="AD43" s="66"/>
      <c r="AE43" s="66"/>
      <c r="AF43" s="66"/>
      <c r="AG43" s="66"/>
      <c r="AH43" s="43"/>
      <c r="AI43" s="43"/>
      <c r="AJ43" s="2"/>
      <c r="AK43" s="1"/>
      <c r="AL43" s="1"/>
      <c r="AM43" s="1"/>
      <c r="AN43" s="44">
        <f t="shared" si="0"/>
        <v>0</v>
      </c>
      <c r="AO43" s="45">
        <f t="shared" si="1"/>
        <v>0</v>
      </c>
      <c r="AP43" s="66"/>
    </row>
    <row r="44" spans="1:42" ht="12.75">
      <c r="A44" s="2"/>
      <c r="B44" s="226" t="s">
        <v>2542</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72"/>
      <c r="AO44" s="70"/>
      <c r="AP44" s="66"/>
    </row>
    <row r="45" spans="1:42" ht="12.75">
      <c r="A45" s="2"/>
      <c r="B45" s="227" t="s">
        <v>2543</v>
      </c>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73">
        <f>SUM(AN39:AN43)</f>
        <v>0</v>
      </c>
      <c r="AO45" s="73">
        <f>SUM(AO39:AO43)</f>
        <v>0</v>
      </c>
      <c r="AP45" s="66"/>
    </row>
    <row r="46" spans="1:42" ht="38.25">
      <c r="A46" s="2">
        <v>38</v>
      </c>
      <c r="B46" s="2">
        <v>38</v>
      </c>
      <c r="C46" s="2" t="s">
        <v>74</v>
      </c>
      <c r="D46" s="2" t="s">
        <v>6</v>
      </c>
      <c r="E46" s="2">
        <v>2</v>
      </c>
      <c r="F46" s="23" t="s">
        <v>1357</v>
      </c>
      <c r="G46" s="2" t="s">
        <v>1358</v>
      </c>
      <c r="H46" s="2" t="s">
        <v>2508</v>
      </c>
      <c r="I46" s="1" t="s">
        <v>4166</v>
      </c>
      <c r="J46" s="1" t="s">
        <v>4127</v>
      </c>
      <c r="K46" s="63">
        <v>29104391</v>
      </c>
      <c r="L46" s="1" t="s">
        <v>2438</v>
      </c>
      <c r="M46" s="1">
        <v>3447000</v>
      </c>
      <c r="N46" s="1" t="s">
        <v>3735</v>
      </c>
      <c r="O46" s="1" t="s">
        <v>4181</v>
      </c>
      <c r="P46" s="1">
        <v>3428</v>
      </c>
      <c r="Q46" s="64">
        <v>43073</v>
      </c>
      <c r="R46" s="64">
        <v>46724</v>
      </c>
      <c r="S46" s="62" t="s">
        <v>2440</v>
      </c>
      <c r="T46" s="30" t="s">
        <v>2436</v>
      </c>
      <c r="U46" s="9" t="s">
        <v>2480</v>
      </c>
      <c r="V46" s="13" t="s">
        <v>3374</v>
      </c>
      <c r="W46" s="13" t="s">
        <v>1359</v>
      </c>
      <c r="X46" s="13">
        <v>2813</v>
      </c>
      <c r="Y46" s="60">
        <v>89347.898</v>
      </c>
      <c r="Z46" s="60">
        <v>97655.039</v>
      </c>
      <c r="AA46" s="2" t="s">
        <v>3741</v>
      </c>
      <c r="AB46" s="66"/>
      <c r="AC46" s="66"/>
      <c r="AD46" s="66"/>
      <c r="AE46" s="66"/>
      <c r="AF46" s="66"/>
      <c r="AG46" s="66"/>
      <c r="AH46" s="43"/>
      <c r="AI46" s="43"/>
      <c r="AJ46" s="2"/>
      <c r="AK46" s="1"/>
      <c r="AL46" s="1"/>
      <c r="AM46" s="1"/>
      <c r="AN46" s="44">
        <f t="shared" si="0"/>
        <v>0</v>
      </c>
      <c r="AO46" s="45">
        <f t="shared" si="1"/>
        <v>0</v>
      </c>
      <c r="AP46" s="66"/>
    </row>
    <row r="47" spans="1:42" ht="38.25">
      <c r="A47" s="2">
        <v>39</v>
      </c>
      <c r="B47" s="2">
        <v>39</v>
      </c>
      <c r="C47" s="2" t="s">
        <v>1360</v>
      </c>
      <c r="D47" s="2" t="s">
        <v>6</v>
      </c>
      <c r="E47" s="2">
        <v>2</v>
      </c>
      <c r="F47" s="2" t="s">
        <v>1361</v>
      </c>
      <c r="G47" s="2" t="s">
        <v>1362</v>
      </c>
      <c r="H47" s="2" t="s">
        <v>2508</v>
      </c>
      <c r="I47" s="1" t="s">
        <v>4166</v>
      </c>
      <c r="J47" s="1" t="s">
        <v>4127</v>
      </c>
      <c r="K47" s="63">
        <v>29104391</v>
      </c>
      <c r="L47" s="1" t="s">
        <v>2438</v>
      </c>
      <c r="M47" s="1">
        <v>3447000</v>
      </c>
      <c r="N47" s="1" t="s">
        <v>3735</v>
      </c>
      <c r="O47" s="1" t="s">
        <v>4181</v>
      </c>
      <c r="P47" s="1">
        <v>3428</v>
      </c>
      <c r="Q47" s="64">
        <v>43073</v>
      </c>
      <c r="R47" s="64">
        <v>46724</v>
      </c>
      <c r="S47" s="62" t="s">
        <v>2440</v>
      </c>
      <c r="T47" s="29" t="s">
        <v>2441</v>
      </c>
      <c r="U47" s="9" t="s">
        <v>2443</v>
      </c>
      <c r="V47" s="13" t="s">
        <v>3375</v>
      </c>
      <c r="W47" s="13" t="s">
        <v>1363</v>
      </c>
      <c r="X47" s="13">
        <v>2813</v>
      </c>
      <c r="Y47" s="60">
        <v>89350.971</v>
      </c>
      <c r="Z47" s="60">
        <v>97660.899</v>
      </c>
      <c r="AA47" s="2" t="s">
        <v>3741</v>
      </c>
      <c r="AB47" s="66"/>
      <c r="AC47" s="66"/>
      <c r="AD47" s="66"/>
      <c r="AE47" s="66"/>
      <c r="AF47" s="66"/>
      <c r="AG47" s="66"/>
      <c r="AH47" s="43"/>
      <c r="AI47" s="43"/>
      <c r="AJ47" s="2"/>
      <c r="AK47" s="1"/>
      <c r="AL47" s="1"/>
      <c r="AM47" s="1"/>
      <c r="AN47" s="44">
        <f t="shared" si="0"/>
        <v>0</v>
      </c>
      <c r="AO47" s="45">
        <f t="shared" si="1"/>
        <v>0</v>
      </c>
      <c r="AP47" s="66"/>
    </row>
    <row r="48" spans="1:42" ht="12.75">
      <c r="A48" s="2">
        <v>40</v>
      </c>
      <c r="B48" s="2">
        <v>40</v>
      </c>
      <c r="C48" s="2" t="s">
        <v>74</v>
      </c>
      <c r="D48" s="2" t="s">
        <v>6</v>
      </c>
      <c r="E48" s="2">
        <v>2</v>
      </c>
      <c r="F48" s="11" t="s">
        <v>1364</v>
      </c>
      <c r="G48" s="2" t="s">
        <v>1365</v>
      </c>
      <c r="H48" s="2" t="s">
        <v>2508</v>
      </c>
      <c r="I48" s="1" t="s">
        <v>4166</v>
      </c>
      <c r="J48" s="1" t="s">
        <v>4127</v>
      </c>
      <c r="K48" s="63">
        <v>29104391</v>
      </c>
      <c r="L48" s="1" t="s">
        <v>2438</v>
      </c>
      <c r="M48" s="1">
        <v>3447000</v>
      </c>
      <c r="N48" s="1" t="s">
        <v>3735</v>
      </c>
      <c r="O48" s="1" t="s">
        <v>4181</v>
      </c>
      <c r="P48" s="1">
        <v>3428</v>
      </c>
      <c r="Q48" s="64">
        <v>43073</v>
      </c>
      <c r="R48" s="64">
        <v>46724</v>
      </c>
      <c r="S48" s="62" t="s">
        <v>2440</v>
      </c>
      <c r="T48" s="1" t="s">
        <v>2442</v>
      </c>
      <c r="U48" s="9" t="s">
        <v>2443</v>
      </c>
      <c r="V48" s="13" t="s">
        <v>3376</v>
      </c>
      <c r="W48" s="13" t="s">
        <v>3377</v>
      </c>
      <c r="X48" s="13">
        <v>2795</v>
      </c>
      <c r="Y48" s="60">
        <v>89527.65</v>
      </c>
      <c r="Z48" s="60">
        <v>97454.26</v>
      </c>
      <c r="AA48" s="2" t="s">
        <v>3741</v>
      </c>
      <c r="AB48" s="66"/>
      <c r="AC48" s="66"/>
      <c r="AD48" s="93"/>
      <c r="AE48" s="93"/>
      <c r="AF48" s="93"/>
      <c r="AG48" s="93"/>
      <c r="AH48" s="93"/>
      <c r="AI48" s="93"/>
      <c r="AJ48" s="93"/>
      <c r="AK48" s="93"/>
      <c r="AL48" s="93"/>
      <c r="AM48" s="93"/>
      <c r="AN48" s="117">
        <f t="shared" si="0"/>
        <v>0</v>
      </c>
      <c r="AO48" s="118">
        <f t="shared" si="1"/>
        <v>0</v>
      </c>
      <c r="AP48" s="13" t="s">
        <v>2413</v>
      </c>
    </row>
    <row r="49" spans="1:42" ht="72.75" customHeight="1">
      <c r="A49" s="2">
        <v>41</v>
      </c>
      <c r="B49" s="2">
        <v>41</v>
      </c>
      <c r="C49" s="2" t="s">
        <v>74</v>
      </c>
      <c r="D49" s="2" t="s">
        <v>6</v>
      </c>
      <c r="E49" s="2">
        <v>2</v>
      </c>
      <c r="F49" s="2" t="s">
        <v>1366</v>
      </c>
      <c r="G49" s="2" t="s">
        <v>1367</v>
      </c>
      <c r="H49" s="2" t="s">
        <v>2508</v>
      </c>
      <c r="I49" s="1" t="s">
        <v>4166</v>
      </c>
      <c r="J49" s="1" t="s">
        <v>4127</v>
      </c>
      <c r="K49" s="63">
        <v>29104391</v>
      </c>
      <c r="L49" s="1" t="s">
        <v>2438</v>
      </c>
      <c r="M49" s="1">
        <v>3447000</v>
      </c>
      <c r="N49" s="1" t="s">
        <v>3735</v>
      </c>
      <c r="O49" s="1" t="s">
        <v>4181</v>
      </c>
      <c r="P49" s="1">
        <v>3428</v>
      </c>
      <c r="Q49" s="64">
        <v>43073</v>
      </c>
      <c r="R49" s="64">
        <v>46724</v>
      </c>
      <c r="S49" s="62" t="s">
        <v>2440</v>
      </c>
      <c r="T49" s="29" t="s">
        <v>2441</v>
      </c>
      <c r="U49" s="9" t="s">
        <v>2444</v>
      </c>
      <c r="V49" s="13" t="s">
        <v>3378</v>
      </c>
      <c r="W49" s="13" t="s">
        <v>3379</v>
      </c>
      <c r="X49" s="13">
        <v>2778</v>
      </c>
      <c r="Y49" s="60">
        <v>89751.96</v>
      </c>
      <c r="Z49" s="60">
        <v>97277.53</v>
      </c>
      <c r="AA49" s="2" t="s">
        <v>4177</v>
      </c>
      <c r="AB49" s="67">
        <v>43710</v>
      </c>
      <c r="AC49" s="50" t="s">
        <v>2503</v>
      </c>
      <c r="AD49" s="82">
        <v>33.2</v>
      </c>
      <c r="AE49" s="82">
        <v>94</v>
      </c>
      <c r="AF49" s="82">
        <v>0.21</v>
      </c>
      <c r="AG49" s="82">
        <v>24</v>
      </c>
      <c r="AH49" s="133">
        <f>AF49*AD49*AG49*0.0036</f>
        <v>0.6023808</v>
      </c>
      <c r="AI49" s="133">
        <f>AF49*AE49*AG49*0.0036</f>
        <v>1.705536</v>
      </c>
      <c r="AJ49" s="82">
        <v>30</v>
      </c>
      <c r="AK49" s="82">
        <v>12</v>
      </c>
      <c r="AL49" s="82">
        <v>0.64</v>
      </c>
      <c r="AM49" s="82">
        <v>0.67</v>
      </c>
      <c r="AN49" s="117">
        <f>AH49*AJ49*AK49*AL49</f>
        <v>138.78853632000002</v>
      </c>
      <c r="AO49" s="118">
        <f>AI49*AJ49*AK49*AM49</f>
        <v>411.37528320000007</v>
      </c>
      <c r="AP49" s="13" t="s">
        <v>2413</v>
      </c>
    </row>
    <row r="50" spans="1:42" ht="48.75" customHeight="1">
      <c r="A50" s="2">
        <v>42</v>
      </c>
      <c r="B50" s="2">
        <v>42</v>
      </c>
      <c r="C50" s="2" t="s">
        <v>74</v>
      </c>
      <c r="D50" s="2" t="s">
        <v>6</v>
      </c>
      <c r="E50" s="2">
        <v>2</v>
      </c>
      <c r="F50" s="2" t="s">
        <v>1368</v>
      </c>
      <c r="G50" s="2" t="s">
        <v>1369</v>
      </c>
      <c r="H50" s="2" t="s">
        <v>2508</v>
      </c>
      <c r="I50" s="1" t="s">
        <v>4166</v>
      </c>
      <c r="J50" s="1" t="s">
        <v>4127</v>
      </c>
      <c r="K50" s="63">
        <v>29104391</v>
      </c>
      <c r="L50" s="1" t="s">
        <v>2438</v>
      </c>
      <c r="M50" s="1">
        <v>3447000</v>
      </c>
      <c r="N50" s="1" t="s">
        <v>3735</v>
      </c>
      <c r="O50" s="1" t="s">
        <v>4181</v>
      </c>
      <c r="P50" s="1">
        <v>3428</v>
      </c>
      <c r="Q50" s="64">
        <v>43073</v>
      </c>
      <c r="R50" s="64">
        <v>46724</v>
      </c>
      <c r="S50" s="62" t="s">
        <v>2440</v>
      </c>
      <c r="T50" s="1" t="s">
        <v>2442</v>
      </c>
      <c r="U50" s="9" t="s">
        <v>2443</v>
      </c>
      <c r="V50" s="13" t="s">
        <v>3380</v>
      </c>
      <c r="W50" s="13" t="s">
        <v>3381</v>
      </c>
      <c r="X50" s="13">
        <v>2777</v>
      </c>
      <c r="Y50" s="60">
        <v>89782.07</v>
      </c>
      <c r="Z50" s="60">
        <v>97246.38</v>
      </c>
      <c r="AA50" s="2" t="s">
        <v>4046</v>
      </c>
      <c r="AB50" s="67"/>
      <c r="AC50" s="50"/>
      <c r="AD50" s="82"/>
      <c r="AE50" s="82"/>
      <c r="AF50" s="82"/>
      <c r="AG50" s="82"/>
      <c r="AH50" s="43"/>
      <c r="AI50" s="43"/>
      <c r="AJ50" s="2"/>
      <c r="AK50" s="1"/>
      <c r="AL50" s="1"/>
      <c r="AM50" s="1"/>
      <c r="AN50" s="117">
        <f>AVERAGE(AN51:AN52)</f>
        <v>169.00373951999998</v>
      </c>
      <c r="AO50" s="117">
        <f>AVERAGE(AO51:AO52)</f>
        <v>207.46243584</v>
      </c>
      <c r="AP50" s="13" t="s">
        <v>2405</v>
      </c>
    </row>
    <row r="51" spans="1:42" ht="48.75" customHeight="1">
      <c r="A51" s="2"/>
      <c r="B51" s="2"/>
      <c r="C51" s="2"/>
      <c r="D51" s="2"/>
      <c r="E51" s="2"/>
      <c r="F51" s="2"/>
      <c r="G51" s="2"/>
      <c r="H51" s="2"/>
      <c r="I51" s="1"/>
      <c r="J51" s="1"/>
      <c r="K51" s="63"/>
      <c r="L51" s="1"/>
      <c r="M51" s="1"/>
      <c r="N51" s="1"/>
      <c r="O51" s="1"/>
      <c r="P51" s="1"/>
      <c r="Q51" s="64"/>
      <c r="R51" s="64"/>
      <c r="S51" s="62"/>
      <c r="T51" s="1"/>
      <c r="U51" s="9"/>
      <c r="V51" s="13"/>
      <c r="W51" s="13"/>
      <c r="X51" s="13"/>
      <c r="Y51" s="60"/>
      <c r="Z51" s="60"/>
      <c r="AA51" s="2" t="s">
        <v>3753</v>
      </c>
      <c r="AB51" s="67">
        <v>43692</v>
      </c>
      <c r="AC51" s="50" t="s">
        <v>3806</v>
      </c>
      <c r="AD51" s="82">
        <v>7</v>
      </c>
      <c r="AE51" s="82">
        <v>20</v>
      </c>
      <c r="AF51" s="82">
        <v>0.715</v>
      </c>
      <c r="AG51" s="82">
        <v>24</v>
      </c>
      <c r="AH51" s="102">
        <f>AF51*AD51*AG51*0.0036</f>
        <v>0.432432</v>
      </c>
      <c r="AI51" s="102">
        <f>AF51*AE51*AG51*0.0036</f>
        <v>1.23552</v>
      </c>
      <c r="AJ51" s="2">
        <v>30</v>
      </c>
      <c r="AK51" s="1">
        <v>12</v>
      </c>
      <c r="AL51" s="1">
        <v>0.77</v>
      </c>
      <c r="AM51" s="1">
        <v>0.8</v>
      </c>
      <c r="AN51" s="127">
        <f>AH51*AJ51*AK51*AL51</f>
        <v>119.87015039999999</v>
      </c>
      <c r="AO51" s="128">
        <f>AI51*AJ51*AK51*AM51</f>
        <v>355.82976</v>
      </c>
      <c r="AP51" s="13"/>
    </row>
    <row r="52" spans="1:42" ht="48.75" customHeight="1">
      <c r="A52" s="2"/>
      <c r="B52" s="2"/>
      <c r="C52" s="2"/>
      <c r="D52" s="2"/>
      <c r="E52" s="2"/>
      <c r="F52" s="2"/>
      <c r="G52" s="2"/>
      <c r="H52" s="2"/>
      <c r="I52" s="1"/>
      <c r="J52" s="1"/>
      <c r="K52" s="63"/>
      <c r="L52" s="1"/>
      <c r="M52" s="1"/>
      <c r="N52" s="1"/>
      <c r="O52" s="1"/>
      <c r="P52" s="1"/>
      <c r="Q52" s="64"/>
      <c r="R52" s="64"/>
      <c r="S52" s="62"/>
      <c r="T52" s="1"/>
      <c r="U52" s="9"/>
      <c r="V52" s="13"/>
      <c r="W52" s="13"/>
      <c r="X52" s="13"/>
      <c r="Y52" s="60"/>
      <c r="Z52" s="60"/>
      <c r="AA52" s="2" t="s">
        <v>4097</v>
      </c>
      <c r="AB52" s="67">
        <v>43710</v>
      </c>
      <c r="AC52" s="50" t="s">
        <v>2473</v>
      </c>
      <c r="AD52" s="82">
        <v>50.6</v>
      </c>
      <c r="AE52" s="82">
        <v>12.7</v>
      </c>
      <c r="AF52" s="82">
        <v>0.22</v>
      </c>
      <c r="AG52" s="82">
        <v>24</v>
      </c>
      <c r="AH52" s="102">
        <f>AF52*AD52*AG52*0.0036</f>
        <v>0.9618048</v>
      </c>
      <c r="AI52" s="102">
        <f>AF52*AE52*AG52*0.0036</f>
        <v>0.2414016</v>
      </c>
      <c r="AJ52" s="2">
        <v>30</v>
      </c>
      <c r="AK52" s="1">
        <v>12</v>
      </c>
      <c r="AL52" s="1">
        <v>0.63</v>
      </c>
      <c r="AM52" s="1">
        <v>0.68</v>
      </c>
      <c r="AN52" s="127">
        <f>AH52*AJ52*AK52*AL52</f>
        <v>218.13732864</v>
      </c>
      <c r="AO52" s="128">
        <f>AI52*AJ52*AK52*AM52</f>
        <v>59.095111679999995</v>
      </c>
      <c r="AP52" s="13"/>
    </row>
    <row r="53" spans="1:42" ht="62.25" customHeight="1">
      <c r="A53" s="2">
        <v>43</v>
      </c>
      <c r="B53" s="2">
        <v>43</v>
      </c>
      <c r="C53" s="2" t="s">
        <v>74</v>
      </c>
      <c r="D53" s="2" t="s">
        <v>6</v>
      </c>
      <c r="E53" s="2">
        <v>2</v>
      </c>
      <c r="F53" s="2" t="s">
        <v>1370</v>
      </c>
      <c r="G53" s="2" t="s">
        <v>1371</v>
      </c>
      <c r="H53" s="2" t="s">
        <v>2508</v>
      </c>
      <c r="I53" s="1" t="s">
        <v>4166</v>
      </c>
      <c r="J53" s="1" t="s">
        <v>4127</v>
      </c>
      <c r="K53" s="63">
        <v>29104391</v>
      </c>
      <c r="L53" s="1" t="s">
        <v>2438</v>
      </c>
      <c r="M53" s="1">
        <v>3447000</v>
      </c>
      <c r="N53" s="1" t="s">
        <v>3735</v>
      </c>
      <c r="O53" s="1" t="s">
        <v>4181</v>
      </c>
      <c r="P53" s="1">
        <v>3428</v>
      </c>
      <c r="Q53" s="64">
        <v>43073</v>
      </c>
      <c r="R53" s="64">
        <v>46724</v>
      </c>
      <c r="S53" s="62" t="s">
        <v>2440</v>
      </c>
      <c r="T53" s="29" t="s">
        <v>2441</v>
      </c>
      <c r="U53" s="9" t="s">
        <v>2444</v>
      </c>
      <c r="V53" s="13" t="s">
        <v>3382</v>
      </c>
      <c r="W53" s="13" t="s">
        <v>3383</v>
      </c>
      <c r="X53" s="13">
        <v>2774</v>
      </c>
      <c r="Y53" s="60">
        <v>89821.71</v>
      </c>
      <c r="Z53" s="60">
        <v>97219.55</v>
      </c>
      <c r="AA53" s="2" t="s">
        <v>4098</v>
      </c>
      <c r="AB53" s="67">
        <v>43710</v>
      </c>
      <c r="AC53" s="2" t="s">
        <v>2411</v>
      </c>
      <c r="AD53" s="69">
        <v>802</v>
      </c>
      <c r="AE53" s="69">
        <v>425</v>
      </c>
      <c r="AF53" s="69">
        <v>0.41</v>
      </c>
      <c r="AG53" s="69">
        <v>24</v>
      </c>
      <c r="AH53" s="43">
        <f>AF53*AD53*AG53*0.0036</f>
        <v>28.410048</v>
      </c>
      <c r="AI53" s="43">
        <f>AF53*AE53*AG53*0.0036</f>
        <v>15.0552</v>
      </c>
      <c r="AJ53" s="2">
        <v>30</v>
      </c>
      <c r="AK53" s="1">
        <v>12</v>
      </c>
      <c r="AL53" s="1">
        <v>0.63</v>
      </c>
      <c r="AM53" s="1">
        <v>0.68</v>
      </c>
      <c r="AN53" s="117">
        <f>AH53*AJ53*AK53*AL53</f>
        <v>6443.398886399999</v>
      </c>
      <c r="AO53" s="118">
        <f>AI53*AJ53*AK53*AM53</f>
        <v>3685.51296</v>
      </c>
      <c r="AP53" s="13" t="s">
        <v>2405</v>
      </c>
    </row>
    <row r="54" spans="1:42" ht="64.5" customHeight="1">
      <c r="A54" s="2">
        <v>44</v>
      </c>
      <c r="B54" s="2">
        <v>44</v>
      </c>
      <c r="C54" s="2" t="s">
        <v>74</v>
      </c>
      <c r="D54" s="2" t="s">
        <v>6</v>
      </c>
      <c r="E54" s="2">
        <v>2</v>
      </c>
      <c r="F54" s="13" t="s">
        <v>1372</v>
      </c>
      <c r="G54" s="13" t="s">
        <v>1373</v>
      </c>
      <c r="H54" s="2" t="s">
        <v>2508</v>
      </c>
      <c r="I54" s="1" t="s">
        <v>4166</v>
      </c>
      <c r="J54" s="1" t="s">
        <v>4127</v>
      </c>
      <c r="K54" s="63">
        <v>29104391</v>
      </c>
      <c r="L54" s="1" t="s">
        <v>2438</v>
      </c>
      <c r="M54" s="1">
        <v>3447000</v>
      </c>
      <c r="N54" s="1" t="s">
        <v>3735</v>
      </c>
      <c r="O54" s="1" t="s">
        <v>4181</v>
      </c>
      <c r="P54" s="1">
        <v>3428</v>
      </c>
      <c r="Q54" s="64">
        <v>43073</v>
      </c>
      <c r="R54" s="64">
        <v>46724</v>
      </c>
      <c r="S54" s="62" t="s">
        <v>2440</v>
      </c>
      <c r="T54" s="1" t="s">
        <v>2442</v>
      </c>
      <c r="U54" s="9" t="s">
        <v>2443</v>
      </c>
      <c r="V54" s="13" t="s">
        <v>3384</v>
      </c>
      <c r="W54" s="13" t="s">
        <v>1374</v>
      </c>
      <c r="X54" s="13">
        <v>2762</v>
      </c>
      <c r="Y54" s="60">
        <v>89974.73</v>
      </c>
      <c r="Z54" s="60">
        <v>96989.79</v>
      </c>
      <c r="AA54" s="2" t="s">
        <v>4178</v>
      </c>
      <c r="AB54" s="67">
        <v>43710</v>
      </c>
      <c r="AC54" s="82" t="s">
        <v>2404</v>
      </c>
      <c r="AD54" s="82">
        <v>355</v>
      </c>
      <c r="AE54" s="82">
        <v>433</v>
      </c>
      <c r="AF54" s="82">
        <v>0.216</v>
      </c>
      <c r="AG54" s="82">
        <v>24</v>
      </c>
      <c r="AH54" s="43">
        <f>AF54*AD54*AG54*0.0036</f>
        <v>6.625151999999999</v>
      </c>
      <c r="AI54" s="43">
        <f>AF54*AE54*AG54*0.0036</f>
        <v>8.0808192</v>
      </c>
      <c r="AJ54" s="2">
        <v>30</v>
      </c>
      <c r="AK54" s="1">
        <v>12</v>
      </c>
      <c r="AL54" s="1">
        <v>0.63</v>
      </c>
      <c r="AM54" s="1">
        <v>0.6</v>
      </c>
      <c r="AN54" s="44">
        <f t="shared" si="0"/>
        <v>1502.5844735999997</v>
      </c>
      <c r="AO54" s="45">
        <f t="shared" si="1"/>
        <v>1745.4569472</v>
      </c>
      <c r="AP54" s="2" t="s">
        <v>2413</v>
      </c>
    </row>
    <row r="55" spans="1:42" ht="25.5">
      <c r="A55" s="2">
        <v>45</v>
      </c>
      <c r="B55" s="2">
        <v>45</v>
      </c>
      <c r="C55" s="2" t="s">
        <v>1375</v>
      </c>
      <c r="D55" s="2" t="s">
        <v>6</v>
      </c>
      <c r="E55" s="2">
        <v>2</v>
      </c>
      <c r="F55" s="2" t="s">
        <v>1376</v>
      </c>
      <c r="G55" s="2" t="s">
        <v>1377</v>
      </c>
      <c r="H55" s="2" t="s">
        <v>2508</v>
      </c>
      <c r="I55" s="1" t="s">
        <v>4166</v>
      </c>
      <c r="J55" s="1" t="s">
        <v>4127</v>
      </c>
      <c r="K55" s="63">
        <v>29104391</v>
      </c>
      <c r="L55" s="1" t="s">
        <v>2438</v>
      </c>
      <c r="M55" s="1">
        <v>3447000</v>
      </c>
      <c r="N55" s="1" t="s">
        <v>3735</v>
      </c>
      <c r="O55" s="1" t="s">
        <v>4181</v>
      </c>
      <c r="P55" s="1">
        <v>3428</v>
      </c>
      <c r="Q55" s="64">
        <v>43073</v>
      </c>
      <c r="R55" s="64">
        <v>46724</v>
      </c>
      <c r="S55" s="62" t="s">
        <v>2440</v>
      </c>
      <c r="T55" s="29" t="s">
        <v>2441</v>
      </c>
      <c r="U55" s="9" t="s">
        <v>2443</v>
      </c>
      <c r="V55" s="13" t="s">
        <v>3385</v>
      </c>
      <c r="W55" s="13" t="s">
        <v>1378</v>
      </c>
      <c r="X55" s="13">
        <v>2752</v>
      </c>
      <c r="Y55" s="60">
        <v>90014.677</v>
      </c>
      <c r="Z55" s="60">
        <v>96844.843</v>
      </c>
      <c r="AA55" s="2" t="s">
        <v>3741</v>
      </c>
      <c r="AB55" s="66"/>
      <c r="AC55" s="66"/>
      <c r="AD55" s="66"/>
      <c r="AE55" s="66"/>
      <c r="AF55" s="66"/>
      <c r="AG55" s="66"/>
      <c r="AH55" s="43"/>
      <c r="AI55" s="43"/>
      <c r="AJ55" s="2"/>
      <c r="AK55" s="1"/>
      <c r="AL55" s="1"/>
      <c r="AM55" s="1"/>
      <c r="AN55" s="44">
        <f t="shared" si="0"/>
        <v>0</v>
      </c>
      <c r="AO55" s="45">
        <f t="shared" si="1"/>
        <v>0</v>
      </c>
      <c r="AP55" s="66"/>
    </row>
    <row r="56" spans="1:42" ht="12.75">
      <c r="A56" s="2">
        <v>46</v>
      </c>
      <c r="B56" s="2">
        <v>46</v>
      </c>
      <c r="C56" s="2" t="s">
        <v>74</v>
      </c>
      <c r="D56" s="2" t="s">
        <v>6</v>
      </c>
      <c r="E56" s="2">
        <v>2</v>
      </c>
      <c r="F56" s="13" t="s">
        <v>1379</v>
      </c>
      <c r="G56" s="13" t="s">
        <v>1380</v>
      </c>
      <c r="H56" s="2" t="s">
        <v>2508</v>
      </c>
      <c r="I56" s="1" t="s">
        <v>4166</v>
      </c>
      <c r="J56" s="1" t="s">
        <v>4127</v>
      </c>
      <c r="K56" s="63">
        <v>29104391</v>
      </c>
      <c r="L56" s="1" t="s">
        <v>2438</v>
      </c>
      <c r="M56" s="1">
        <v>3447000</v>
      </c>
      <c r="N56" s="1" t="s">
        <v>3735</v>
      </c>
      <c r="O56" s="1" t="s">
        <v>4181</v>
      </c>
      <c r="P56" s="1">
        <v>3428</v>
      </c>
      <c r="Q56" s="64">
        <v>43073</v>
      </c>
      <c r="R56" s="64">
        <v>46724</v>
      </c>
      <c r="S56" s="62" t="s">
        <v>2440</v>
      </c>
      <c r="T56" s="29" t="s">
        <v>2441</v>
      </c>
      <c r="U56" s="9" t="s">
        <v>2444</v>
      </c>
      <c r="V56" s="13" t="s">
        <v>3386</v>
      </c>
      <c r="W56" s="13" t="s">
        <v>1381</v>
      </c>
      <c r="X56" s="13">
        <v>2749</v>
      </c>
      <c r="Y56" s="60">
        <v>90026.96</v>
      </c>
      <c r="Z56" s="60">
        <v>96773.91</v>
      </c>
      <c r="AA56" s="2" t="s">
        <v>3741</v>
      </c>
      <c r="AB56" s="66"/>
      <c r="AC56" s="66"/>
      <c r="AD56" s="66"/>
      <c r="AE56" s="66"/>
      <c r="AF56" s="66"/>
      <c r="AG56" s="66"/>
      <c r="AH56" s="43"/>
      <c r="AI56" s="43"/>
      <c r="AJ56" s="2"/>
      <c r="AK56" s="1"/>
      <c r="AL56" s="1"/>
      <c r="AM56" s="1"/>
      <c r="AN56" s="44">
        <f t="shared" si="0"/>
        <v>0</v>
      </c>
      <c r="AO56" s="45">
        <f t="shared" si="1"/>
        <v>0</v>
      </c>
      <c r="AP56" s="2" t="s">
        <v>2413</v>
      </c>
    </row>
    <row r="57" spans="1:42" ht="48" customHeight="1">
      <c r="A57" s="2">
        <v>47</v>
      </c>
      <c r="B57" s="2">
        <v>47</v>
      </c>
      <c r="C57" s="2" t="s">
        <v>74</v>
      </c>
      <c r="D57" s="2" t="s">
        <v>6</v>
      </c>
      <c r="E57" s="2">
        <v>2</v>
      </c>
      <c r="F57" s="2" t="s">
        <v>1382</v>
      </c>
      <c r="G57" s="2" t="s">
        <v>1383</v>
      </c>
      <c r="H57" s="2" t="s">
        <v>2508</v>
      </c>
      <c r="I57" s="1" t="s">
        <v>4166</v>
      </c>
      <c r="J57" s="1" t="s">
        <v>4127</v>
      </c>
      <c r="K57" s="63">
        <v>29104391</v>
      </c>
      <c r="L57" s="1" t="s">
        <v>2438</v>
      </c>
      <c r="M57" s="1">
        <v>3447000</v>
      </c>
      <c r="N57" s="1" t="s">
        <v>3735</v>
      </c>
      <c r="O57" s="1" t="s">
        <v>4181</v>
      </c>
      <c r="P57" s="1">
        <v>3428</v>
      </c>
      <c r="Q57" s="64">
        <v>43073</v>
      </c>
      <c r="R57" s="64">
        <v>46724</v>
      </c>
      <c r="S57" s="62" t="s">
        <v>2440</v>
      </c>
      <c r="T57" s="1" t="s">
        <v>2442</v>
      </c>
      <c r="U57" s="9" t="s">
        <v>2443</v>
      </c>
      <c r="V57" s="13" t="s">
        <v>3387</v>
      </c>
      <c r="W57" s="13" t="s">
        <v>3388</v>
      </c>
      <c r="X57" s="13">
        <v>2749</v>
      </c>
      <c r="Y57" s="60">
        <v>90018.05</v>
      </c>
      <c r="Z57" s="60">
        <v>96758.18</v>
      </c>
      <c r="AA57" s="2" t="s">
        <v>3807</v>
      </c>
      <c r="AB57" s="67">
        <v>43292</v>
      </c>
      <c r="AC57" s="50">
        <v>0.6319444444444444</v>
      </c>
      <c r="AD57" s="93"/>
      <c r="AE57" s="93"/>
      <c r="AF57" s="93"/>
      <c r="AG57" s="93"/>
      <c r="AH57" s="93"/>
      <c r="AI57" s="93"/>
      <c r="AJ57" s="93"/>
      <c r="AK57" s="93"/>
      <c r="AL57" s="93"/>
      <c r="AM57" s="93"/>
      <c r="AN57" s="117">
        <f t="shared" si="0"/>
        <v>0</v>
      </c>
      <c r="AO57" s="118">
        <f t="shared" si="1"/>
        <v>0</v>
      </c>
      <c r="AP57" s="13" t="s">
        <v>2413</v>
      </c>
    </row>
    <row r="58" spans="1:42" ht="53.25" customHeight="1">
      <c r="A58" s="2">
        <v>48</v>
      </c>
      <c r="B58" s="2">
        <v>48</v>
      </c>
      <c r="C58" s="2" t="s">
        <v>74</v>
      </c>
      <c r="D58" s="2" t="s">
        <v>6</v>
      </c>
      <c r="E58" s="2">
        <v>2</v>
      </c>
      <c r="F58" s="2" t="s">
        <v>1384</v>
      </c>
      <c r="G58" s="2" t="s">
        <v>1385</v>
      </c>
      <c r="H58" s="2" t="s">
        <v>2508</v>
      </c>
      <c r="I58" s="1" t="s">
        <v>4166</v>
      </c>
      <c r="J58" s="1" t="s">
        <v>4127</v>
      </c>
      <c r="K58" s="63">
        <v>29104391</v>
      </c>
      <c r="L58" s="1" t="s">
        <v>2438</v>
      </c>
      <c r="M58" s="1">
        <v>3447000</v>
      </c>
      <c r="N58" s="1" t="s">
        <v>3735</v>
      </c>
      <c r="O58" s="1" t="s">
        <v>4181</v>
      </c>
      <c r="P58" s="1">
        <v>3428</v>
      </c>
      <c r="Q58" s="64">
        <v>43073</v>
      </c>
      <c r="R58" s="64">
        <v>46724</v>
      </c>
      <c r="S58" s="62" t="s">
        <v>2440</v>
      </c>
      <c r="T58" s="1" t="s">
        <v>2442</v>
      </c>
      <c r="U58" s="9" t="s">
        <v>2443</v>
      </c>
      <c r="V58" s="13" t="s">
        <v>3389</v>
      </c>
      <c r="W58" s="13" t="s">
        <v>3390</v>
      </c>
      <c r="X58" s="13">
        <v>2746</v>
      </c>
      <c r="Y58" s="60">
        <v>90016.51</v>
      </c>
      <c r="Z58" s="60">
        <v>96719.32</v>
      </c>
      <c r="AA58" s="2" t="s">
        <v>3807</v>
      </c>
      <c r="AB58" s="67">
        <v>43292</v>
      </c>
      <c r="AC58" s="50">
        <v>0.6458333333333334</v>
      </c>
      <c r="AD58" s="93"/>
      <c r="AE58" s="93"/>
      <c r="AF58" s="93"/>
      <c r="AG58" s="93"/>
      <c r="AH58" s="93"/>
      <c r="AI58" s="93"/>
      <c r="AJ58" s="93"/>
      <c r="AK58" s="93"/>
      <c r="AL58" s="93"/>
      <c r="AM58" s="93"/>
      <c r="AN58" s="117">
        <f t="shared" si="0"/>
        <v>0</v>
      </c>
      <c r="AO58" s="118">
        <f t="shared" si="1"/>
        <v>0</v>
      </c>
      <c r="AP58" s="13" t="s">
        <v>2413</v>
      </c>
    </row>
    <row r="59" spans="1:42" ht="52.5" customHeight="1">
      <c r="A59" s="2">
        <v>49</v>
      </c>
      <c r="B59" s="2">
        <v>49</v>
      </c>
      <c r="C59" s="2" t="s">
        <v>74</v>
      </c>
      <c r="D59" s="2" t="s">
        <v>6</v>
      </c>
      <c r="E59" s="2">
        <v>2</v>
      </c>
      <c r="F59" s="2" t="s">
        <v>1386</v>
      </c>
      <c r="G59" s="2" t="s">
        <v>1387</v>
      </c>
      <c r="H59" s="2" t="s">
        <v>2508</v>
      </c>
      <c r="I59" s="1" t="s">
        <v>4166</v>
      </c>
      <c r="J59" s="1" t="s">
        <v>4127</v>
      </c>
      <c r="K59" s="63">
        <v>29104391</v>
      </c>
      <c r="L59" s="1" t="s">
        <v>2438</v>
      </c>
      <c r="M59" s="1">
        <v>3447000</v>
      </c>
      <c r="N59" s="1" t="s">
        <v>3735</v>
      </c>
      <c r="O59" s="1" t="s">
        <v>4181</v>
      </c>
      <c r="P59" s="1">
        <v>3428</v>
      </c>
      <c r="Q59" s="64">
        <v>43073</v>
      </c>
      <c r="R59" s="64">
        <v>46724</v>
      </c>
      <c r="S59" s="62" t="s">
        <v>2440</v>
      </c>
      <c r="T59" s="1" t="s">
        <v>2442</v>
      </c>
      <c r="U59" s="9" t="s">
        <v>2443</v>
      </c>
      <c r="V59" s="13" t="s">
        <v>3391</v>
      </c>
      <c r="W59" s="13" t="s">
        <v>3392</v>
      </c>
      <c r="X59" s="13">
        <v>2742</v>
      </c>
      <c r="Y59" s="60">
        <v>90028.79</v>
      </c>
      <c r="Z59" s="60">
        <v>96589.79</v>
      </c>
      <c r="AA59" s="2" t="s">
        <v>3807</v>
      </c>
      <c r="AB59" s="67">
        <v>43292</v>
      </c>
      <c r="AC59" s="50">
        <v>0.65625</v>
      </c>
      <c r="AD59" s="93"/>
      <c r="AE59" s="93"/>
      <c r="AF59" s="93"/>
      <c r="AG59" s="93"/>
      <c r="AH59" s="93"/>
      <c r="AI59" s="93"/>
      <c r="AJ59" s="93"/>
      <c r="AK59" s="93"/>
      <c r="AL59" s="93"/>
      <c r="AM59" s="93"/>
      <c r="AN59" s="117">
        <f t="shared" si="0"/>
        <v>0</v>
      </c>
      <c r="AO59" s="118">
        <f t="shared" si="1"/>
        <v>0</v>
      </c>
      <c r="AP59" s="13" t="s">
        <v>2413</v>
      </c>
    </row>
    <row r="60" spans="1:42" ht="42.75" customHeight="1">
      <c r="A60" s="2">
        <v>50</v>
      </c>
      <c r="B60" s="2">
        <v>50</v>
      </c>
      <c r="C60" s="2" t="s">
        <v>74</v>
      </c>
      <c r="D60" s="2" t="s">
        <v>6</v>
      </c>
      <c r="E60" s="2">
        <v>2</v>
      </c>
      <c r="F60" s="2" t="s">
        <v>1388</v>
      </c>
      <c r="G60" s="2" t="s">
        <v>1389</v>
      </c>
      <c r="H60" s="2" t="s">
        <v>2508</v>
      </c>
      <c r="I60" s="1" t="s">
        <v>4166</v>
      </c>
      <c r="J60" s="1" t="s">
        <v>4127</v>
      </c>
      <c r="K60" s="63">
        <v>29104391</v>
      </c>
      <c r="L60" s="1" t="s">
        <v>2438</v>
      </c>
      <c r="M60" s="1">
        <v>3447000</v>
      </c>
      <c r="N60" s="1" t="s">
        <v>3735</v>
      </c>
      <c r="O60" s="1" t="s">
        <v>4181</v>
      </c>
      <c r="P60" s="1">
        <v>3428</v>
      </c>
      <c r="Q60" s="64">
        <v>43073</v>
      </c>
      <c r="R60" s="64">
        <v>46724</v>
      </c>
      <c r="S60" s="62" t="s">
        <v>2440</v>
      </c>
      <c r="T60" s="1" t="s">
        <v>2442</v>
      </c>
      <c r="U60" s="9" t="s">
        <v>2444</v>
      </c>
      <c r="V60" s="13" t="s">
        <v>3393</v>
      </c>
      <c r="W60" s="13" t="s">
        <v>1390</v>
      </c>
      <c r="X60" s="13">
        <v>2709</v>
      </c>
      <c r="Y60" s="60">
        <v>90098.21</v>
      </c>
      <c r="Z60" s="60">
        <v>95944.01</v>
      </c>
      <c r="AA60" s="2" t="s">
        <v>4046</v>
      </c>
      <c r="AB60" s="67"/>
      <c r="AC60" s="2"/>
      <c r="AD60" s="69"/>
      <c r="AE60" s="69"/>
      <c r="AF60" s="69"/>
      <c r="AG60" s="69"/>
      <c r="AH60" s="43"/>
      <c r="AI60" s="43"/>
      <c r="AJ60" s="2"/>
      <c r="AK60" s="1"/>
      <c r="AL60" s="1"/>
      <c r="AM60" s="1"/>
      <c r="AN60" s="117">
        <f>AVERAGE(AN61:AN62)</f>
        <v>1554.93997056</v>
      </c>
      <c r="AO60" s="117">
        <f>AVERAGE(AO61:AO62)</f>
        <v>4360.824034560001</v>
      </c>
      <c r="AP60" s="13" t="s">
        <v>2413</v>
      </c>
    </row>
    <row r="61" spans="1:42" ht="43.5" customHeight="1">
      <c r="A61" s="2"/>
      <c r="B61" s="2"/>
      <c r="C61" s="2"/>
      <c r="D61" s="2"/>
      <c r="E61" s="2"/>
      <c r="F61" s="2"/>
      <c r="G61" s="2"/>
      <c r="H61" s="2"/>
      <c r="I61" s="1"/>
      <c r="J61" s="1"/>
      <c r="K61" s="63"/>
      <c r="L61" s="1"/>
      <c r="M61" s="1"/>
      <c r="N61" s="1"/>
      <c r="O61" s="1"/>
      <c r="P61" s="1"/>
      <c r="Q61" s="64"/>
      <c r="R61" s="64"/>
      <c r="S61" s="62"/>
      <c r="T61" s="1"/>
      <c r="U61" s="9"/>
      <c r="V61" s="13"/>
      <c r="W61" s="13"/>
      <c r="X61" s="13"/>
      <c r="Y61" s="60"/>
      <c r="Z61" s="60"/>
      <c r="AA61" s="2" t="s">
        <v>3753</v>
      </c>
      <c r="AB61" s="67">
        <v>43697</v>
      </c>
      <c r="AC61" s="2" t="s">
        <v>2546</v>
      </c>
      <c r="AD61" s="69">
        <v>12</v>
      </c>
      <c r="AE61" s="69">
        <v>26</v>
      </c>
      <c r="AF61" s="69">
        <v>8.917</v>
      </c>
      <c r="AG61" s="69">
        <v>24</v>
      </c>
      <c r="AH61" s="102">
        <f>AF61*AD61*AG61*0.0036</f>
        <v>9.245145599999999</v>
      </c>
      <c r="AI61" s="102">
        <f>AF61*AE61*AG61*0.0036</f>
        <v>20.031148799999997</v>
      </c>
      <c r="AJ61" s="2">
        <v>30</v>
      </c>
      <c r="AK61" s="1">
        <v>12</v>
      </c>
      <c r="AL61" s="1">
        <v>0.58</v>
      </c>
      <c r="AM61" s="1">
        <v>0.59</v>
      </c>
      <c r="AN61" s="127">
        <f>AH61*AJ61*AK61*AL61</f>
        <v>1930.3864012799995</v>
      </c>
      <c r="AO61" s="128">
        <f>AI61*AJ61*AK61*AM61</f>
        <v>4254.6160051199995</v>
      </c>
      <c r="AP61" s="13"/>
    </row>
    <row r="62" spans="1:42" ht="48" customHeight="1">
      <c r="A62" s="2"/>
      <c r="B62" s="2"/>
      <c r="C62" s="2"/>
      <c r="D62" s="2"/>
      <c r="E62" s="2"/>
      <c r="F62" s="2"/>
      <c r="G62" s="2"/>
      <c r="H62" s="2"/>
      <c r="I62" s="1"/>
      <c r="J62" s="1"/>
      <c r="K62" s="63"/>
      <c r="L62" s="1"/>
      <c r="M62" s="1"/>
      <c r="N62" s="1"/>
      <c r="O62" s="1"/>
      <c r="P62" s="1"/>
      <c r="Q62" s="64"/>
      <c r="R62" s="64"/>
      <c r="S62" s="62"/>
      <c r="T62" s="1"/>
      <c r="U62" s="9"/>
      <c r="V62" s="13"/>
      <c r="W62" s="13"/>
      <c r="X62" s="13"/>
      <c r="Y62" s="60"/>
      <c r="Z62" s="60"/>
      <c r="AA62" s="2" t="s">
        <v>4099</v>
      </c>
      <c r="AB62" s="67">
        <v>43644</v>
      </c>
      <c r="AC62" s="2" t="s">
        <v>2477</v>
      </c>
      <c r="AD62" s="69">
        <v>17.1</v>
      </c>
      <c r="AE62" s="69">
        <v>68</v>
      </c>
      <c r="AF62" s="69">
        <v>3.52</v>
      </c>
      <c r="AG62" s="69">
        <v>24</v>
      </c>
      <c r="AH62" s="102">
        <f>AF62*AD62*AG62*0.0036</f>
        <v>5.2005888</v>
      </c>
      <c r="AI62" s="102">
        <f>AF62*AE62*AG62*0.0036</f>
        <v>20.680704000000002</v>
      </c>
      <c r="AJ62" s="2">
        <v>30</v>
      </c>
      <c r="AK62" s="1">
        <v>12</v>
      </c>
      <c r="AL62" s="1">
        <v>0.63</v>
      </c>
      <c r="AM62" s="1">
        <v>0.6</v>
      </c>
      <c r="AN62" s="127">
        <f>AH62*AJ62*AK62*AL62</f>
        <v>1179.49353984</v>
      </c>
      <c r="AO62" s="128">
        <f>AI62*AJ62*AK62*AM62</f>
        <v>4467.032064000001</v>
      </c>
      <c r="AP62" s="13"/>
    </row>
    <row r="63" spans="1:42" ht="75.75" customHeight="1">
      <c r="A63" s="2">
        <v>51</v>
      </c>
      <c r="B63" s="2">
        <v>51</v>
      </c>
      <c r="C63" s="2" t="s">
        <v>74</v>
      </c>
      <c r="D63" s="2" t="s">
        <v>6</v>
      </c>
      <c r="E63" s="2">
        <v>2</v>
      </c>
      <c r="F63" s="2" t="s">
        <v>1391</v>
      </c>
      <c r="G63" s="2" t="s">
        <v>1392</v>
      </c>
      <c r="H63" s="2" t="s">
        <v>2508</v>
      </c>
      <c r="I63" s="1" t="s">
        <v>4166</v>
      </c>
      <c r="J63" s="1" t="s">
        <v>4127</v>
      </c>
      <c r="K63" s="63">
        <v>29104391</v>
      </c>
      <c r="L63" s="1" t="s">
        <v>2438</v>
      </c>
      <c r="M63" s="1">
        <v>3447000</v>
      </c>
      <c r="N63" s="1" t="s">
        <v>3735</v>
      </c>
      <c r="O63" s="1" t="s">
        <v>4181</v>
      </c>
      <c r="P63" s="1">
        <v>3428</v>
      </c>
      <c r="Q63" s="64">
        <v>43073</v>
      </c>
      <c r="R63" s="64">
        <v>46724</v>
      </c>
      <c r="S63" s="62" t="s">
        <v>2440</v>
      </c>
      <c r="T63" s="29" t="s">
        <v>2441</v>
      </c>
      <c r="U63" s="9" t="s">
        <v>2444</v>
      </c>
      <c r="V63" s="13" t="s">
        <v>3394</v>
      </c>
      <c r="W63" s="13" t="s">
        <v>3395</v>
      </c>
      <c r="X63" s="13">
        <v>2707</v>
      </c>
      <c r="Y63" s="60">
        <v>90148.3</v>
      </c>
      <c r="Z63" s="60">
        <v>95953.26</v>
      </c>
      <c r="AA63" s="2" t="s">
        <v>4100</v>
      </c>
      <c r="AB63" s="67">
        <v>43650</v>
      </c>
      <c r="AC63" s="2" t="s">
        <v>2479</v>
      </c>
      <c r="AD63" s="69">
        <v>288</v>
      </c>
      <c r="AE63" s="69">
        <v>31.4</v>
      </c>
      <c r="AF63" s="69">
        <v>18.8</v>
      </c>
      <c r="AG63" s="69">
        <v>24</v>
      </c>
      <c r="AH63" s="43">
        <f>AF63*AD63*AG63*0.0036</f>
        <v>467.80416</v>
      </c>
      <c r="AI63" s="43">
        <f>AF63*AE63*AG63*0.0036</f>
        <v>51.003648</v>
      </c>
      <c r="AJ63" s="2">
        <v>30</v>
      </c>
      <c r="AK63" s="1">
        <v>12</v>
      </c>
      <c r="AL63" s="1">
        <v>0.58</v>
      </c>
      <c r="AM63" s="1">
        <v>0.55</v>
      </c>
      <c r="AN63" s="117">
        <f t="shared" si="0"/>
        <v>97677.50860799999</v>
      </c>
      <c r="AO63" s="118">
        <f t="shared" si="1"/>
        <v>10098.722304</v>
      </c>
      <c r="AP63" s="13" t="s">
        <v>2413</v>
      </c>
    </row>
    <row r="64" spans="1:42" ht="48" customHeight="1">
      <c r="A64" s="2">
        <v>52</v>
      </c>
      <c r="B64" s="2">
        <v>52</v>
      </c>
      <c r="C64" s="2" t="s">
        <v>74</v>
      </c>
      <c r="D64" s="2" t="s">
        <v>6</v>
      </c>
      <c r="E64" s="2">
        <v>2</v>
      </c>
      <c r="F64" s="2" t="s">
        <v>1393</v>
      </c>
      <c r="G64" s="2" t="s">
        <v>1392</v>
      </c>
      <c r="H64" s="2" t="s">
        <v>2508</v>
      </c>
      <c r="I64" s="1" t="s">
        <v>4166</v>
      </c>
      <c r="J64" s="1" t="s">
        <v>4127</v>
      </c>
      <c r="K64" s="63">
        <v>29104391</v>
      </c>
      <c r="L64" s="1" t="s">
        <v>2438</v>
      </c>
      <c r="M64" s="1">
        <v>3447000</v>
      </c>
      <c r="N64" s="1" t="s">
        <v>3735</v>
      </c>
      <c r="O64" s="1" t="s">
        <v>4181</v>
      </c>
      <c r="P64" s="1">
        <v>3428</v>
      </c>
      <c r="Q64" s="64">
        <v>43073</v>
      </c>
      <c r="R64" s="64">
        <v>46724</v>
      </c>
      <c r="S64" s="62" t="s">
        <v>2440</v>
      </c>
      <c r="T64" s="29" t="s">
        <v>2441</v>
      </c>
      <c r="U64" s="9" t="s">
        <v>2444</v>
      </c>
      <c r="V64" s="13" t="s">
        <v>3396</v>
      </c>
      <c r="W64" s="13" t="s">
        <v>3397</v>
      </c>
      <c r="X64" s="13">
        <v>2707</v>
      </c>
      <c r="Y64" s="60">
        <v>90162.43</v>
      </c>
      <c r="Z64" s="60">
        <v>95962.82</v>
      </c>
      <c r="AA64" s="2" t="s">
        <v>4101</v>
      </c>
      <c r="AB64" s="67">
        <v>43644</v>
      </c>
      <c r="AC64" s="2" t="s">
        <v>3808</v>
      </c>
      <c r="AD64" s="69">
        <v>157</v>
      </c>
      <c r="AE64" s="69">
        <v>84</v>
      </c>
      <c r="AF64" s="69">
        <v>4.51</v>
      </c>
      <c r="AG64" s="69">
        <v>24</v>
      </c>
      <c r="AH64" s="102">
        <f>AF64*AD64*AG64*0.0036</f>
        <v>61.177248</v>
      </c>
      <c r="AI64" s="102">
        <f>AF64*AE64*AG64*0.0036</f>
        <v>32.731775999999996</v>
      </c>
      <c r="AJ64" s="2">
        <v>30</v>
      </c>
      <c r="AK64" s="1">
        <v>12</v>
      </c>
      <c r="AL64" s="1">
        <v>0.64</v>
      </c>
      <c r="AM64" s="1">
        <v>0.64</v>
      </c>
      <c r="AN64" s="117">
        <f>AH64*AJ64*AK64*AL64</f>
        <v>14095.2379392</v>
      </c>
      <c r="AO64" s="118">
        <f>AI64*AJ64*AK64*AM64</f>
        <v>7541.4011904</v>
      </c>
      <c r="AP64" s="13" t="s">
        <v>2413</v>
      </c>
    </row>
    <row r="65" spans="1:42" ht="42.75" customHeight="1">
      <c r="A65" s="2">
        <v>53</v>
      </c>
      <c r="B65" s="2">
        <v>53</v>
      </c>
      <c r="C65" s="2" t="s">
        <v>74</v>
      </c>
      <c r="D65" s="2" t="s">
        <v>6</v>
      </c>
      <c r="E65" s="2">
        <v>2</v>
      </c>
      <c r="F65" s="2" t="s">
        <v>1394</v>
      </c>
      <c r="G65" s="2" t="s">
        <v>1395</v>
      </c>
      <c r="H65" s="2" t="s">
        <v>2508</v>
      </c>
      <c r="I65" s="1" t="s">
        <v>4166</v>
      </c>
      <c r="J65" s="1" t="s">
        <v>4127</v>
      </c>
      <c r="K65" s="63">
        <v>29104391</v>
      </c>
      <c r="L65" s="1" t="s">
        <v>2438</v>
      </c>
      <c r="M65" s="1">
        <v>3447000</v>
      </c>
      <c r="N65" s="1" t="s">
        <v>3735</v>
      </c>
      <c r="O65" s="1" t="s">
        <v>4181</v>
      </c>
      <c r="P65" s="1">
        <v>3428</v>
      </c>
      <c r="Q65" s="64">
        <v>43073</v>
      </c>
      <c r="R65" s="64">
        <v>46724</v>
      </c>
      <c r="S65" s="62" t="s">
        <v>2440</v>
      </c>
      <c r="T65" s="1" t="s">
        <v>2442</v>
      </c>
      <c r="U65" s="9" t="s">
        <v>2445</v>
      </c>
      <c r="V65" s="13" t="s">
        <v>3398</v>
      </c>
      <c r="W65" s="13" t="s">
        <v>3399</v>
      </c>
      <c r="X65" s="13">
        <v>2673</v>
      </c>
      <c r="Y65" s="60">
        <v>90052.7</v>
      </c>
      <c r="Z65" s="60">
        <v>95340.49</v>
      </c>
      <c r="AA65" s="2" t="s">
        <v>3809</v>
      </c>
      <c r="AB65" s="67">
        <v>43294</v>
      </c>
      <c r="AC65" s="50">
        <v>0.5833333333333334</v>
      </c>
      <c r="AD65" s="93"/>
      <c r="AE65" s="93"/>
      <c r="AF65" s="93"/>
      <c r="AG65" s="93"/>
      <c r="AH65" s="93"/>
      <c r="AI65" s="93"/>
      <c r="AJ65" s="93"/>
      <c r="AK65" s="93"/>
      <c r="AL65" s="93"/>
      <c r="AM65" s="93"/>
      <c r="AN65" s="117">
        <f t="shared" si="0"/>
        <v>0</v>
      </c>
      <c r="AO65" s="118">
        <f t="shared" si="1"/>
        <v>0</v>
      </c>
      <c r="AP65" s="13" t="s">
        <v>2413</v>
      </c>
    </row>
    <row r="66" spans="1:42" ht="42.75" customHeight="1">
      <c r="A66" s="2">
        <v>54</v>
      </c>
      <c r="B66" s="2">
        <v>54</v>
      </c>
      <c r="C66" s="2" t="s">
        <v>74</v>
      </c>
      <c r="D66" s="2" t="s">
        <v>6</v>
      </c>
      <c r="E66" s="2">
        <v>2</v>
      </c>
      <c r="F66" s="2" t="s">
        <v>1396</v>
      </c>
      <c r="G66" s="2" t="s">
        <v>1397</v>
      </c>
      <c r="H66" s="2" t="s">
        <v>2508</v>
      </c>
      <c r="I66" s="1" t="s">
        <v>4166</v>
      </c>
      <c r="J66" s="1" t="s">
        <v>4127</v>
      </c>
      <c r="K66" s="63">
        <v>29104391</v>
      </c>
      <c r="L66" s="1" t="s">
        <v>2438</v>
      </c>
      <c r="M66" s="1">
        <v>3447000</v>
      </c>
      <c r="N66" s="1" t="s">
        <v>3735</v>
      </c>
      <c r="O66" s="1" t="s">
        <v>4181</v>
      </c>
      <c r="P66" s="1">
        <v>3428</v>
      </c>
      <c r="Q66" s="64">
        <v>43073</v>
      </c>
      <c r="R66" s="64">
        <v>46724</v>
      </c>
      <c r="S66" s="62" t="s">
        <v>2440</v>
      </c>
      <c r="T66" s="1" t="s">
        <v>2442</v>
      </c>
      <c r="U66" s="9" t="s">
        <v>2444</v>
      </c>
      <c r="V66" s="13" t="s">
        <v>3400</v>
      </c>
      <c r="W66" s="13" t="s">
        <v>3401</v>
      </c>
      <c r="X66" s="13">
        <v>2649</v>
      </c>
      <c r="Y66" s="60">
        <v>89841.27</v>
      </c>
      <c r="Z66" s="60">
        <v>94970.42</v>
      </c>
      <c r="AA66" s="2" t="s">
        <v>4046</v>
      </c>
      <c r="AB66" s="66"/>
      <c r="AC66" s="66"/>
      <c r="AD66" s="66"/>
      <c r="AE66" s="66"/>
      <c r="AF66" s="66"/>
      <c r="AG66" s="66"/>
      <c r="AH66" s="43"/>
      <c r="AI66" s="43"/>
      <c r="AJ66" s="2"/>
      <c r="AK66" s="1"/>
      <c r="AL66" s="1"/>
      <c r="AM66" s="1"/>
      <c r="AN66" s="117">
        <f>AVERAGE(AN67:AN68)</f>
        <v>10641.899854079998</v>
      </c>
      <c r="AO66" s="117">
        <f>AVERAGE(AO67:AO68)</f>
        <v>13095.26175744</v>
      </c>
      <c r="AP66" s="13" t="s">
        <v>2413</v>
      </c>
    </row>
    <row r="67" spans="1:42" ht="42.75" customHeight="1">
      <c r="A67" s="2"/>
      <c r="B67" s="2"/>
      <c r="C67" s="2"/>
      <c r="D67" s="2"/>
      <c r="E67" s="2"/>
      <c r="F67" s="2"/>
      <c r="G67" s="2"/>
      <c r="H67" s="2"/>
      <c r="I67" s="1"/>
      <c r="J67" s="1"/>
      <c r="K67" s="63"/>
      <c r="L67" s="1"/>
      <c r="M67" s="1"/>
      <c r="N67" s="1"/>
      <c r="O67" s="1"/>
      <c r="P67" s="1"/>
      <c r="Q67" s="64"/>
      <c r="R67" s="64"/>
      <c r="S67" s="62"/>
      <c r="T67" s="1"/>
      <c r="U67" s="9"/>
      <c r="V67" s="13"/>
      <c r="W67" s="13"/>
      <c r="X67" s="13"/>
      <c r="Y67" s="60"/>
      <c r="Z67" s="60"/>
      <c r="AA67" s="2" t="s">
        <v>3753</v>
      </c>
      <c r="AB67" s="104">
        <v>43699</v>
      </c>
      <c r="AC67" s="82" t="s">
        <v>2461</v>
      </c>
      <c r="AD67" s="82">
        <v>443</v>
      </c>
      <c r="AE67" s="82">
        <v>448</v>
      </c>
      <c r="AF67" s="82">
        <v>0.721</v>
      </c>
      <c r="AG67" s="82">
        <v>24</v>
      </c>
      <c r="AH67" s="102">
        <f>AF67*AD67*AG67*0.0036</f>
        <v>27.596419199999996</v>
      </c>
      <c r="AI67" s="102">
        <f>AF67*AE67*AG67*0.0036</f>
        <v>27.907891199999995</v>
      </c>
      <c r="AJ67" s="2">
        <v>30</v>
      </c>
      <c r="AK67" s="1">
        <v>12</v>
      </c>
      <c r="AL67" s="1">
        <v>0.58</v>
      </c>
      <c r="AM67" s="1">
        <v>0.59</v>
      </c>
      <c r="AN67" s="127">
        <f>AH67*AJ67*AK67*AL67</f>
        <v>5762.132328959999</v>
      </c>
      <c r="AO67" s="128">
        <f>AI67*AJ67*AK67*AM67</f>
        <v>5927.636090879999</v>
      </c>
      <c r="AP67" s="13"/>
    </row>
    <row r="68" spans="1:42" ht="41.25" customHeight="1">
      <c r="A68" s="2"/>
      <c r="B68" s="2"/>
      <c r="C68" s="2"/>
      <c r="D68" s="2"/>
      <c r="E68" s="2"/>
      <c r="F68" s="2"/>
      <c r="G68" s="2"/>
      <c r="H68" s="2"/>
      <c r="I68" s="1"/>
      <c r="J68" s="1"/>
      <c r="K68" s="63"/>
      <c r="L68" s="1"/>
      <c r="M68" s="1"/>
      <c r="N68" s="1"/>
      <c r="O68" s="1"/>
      <c r="P68" s="1"/>
      <c r="Q68" s="64"/>
      <c r="R68" s="64"/>
      <c r="S68" s="62"/>
      <c r="T68" s="1"/>
      <c r="U68" s="9"/>
      <c r="V68" s="13"/>
      <c r="W68" s="13"/>
      <c r="X68" s="13"/>
      <c r="Y68" s="60"/>
      <c r="Z68" s="60"/>
      <c r="AA68" s="2" t="s">
        <v>4102</v>
      </c>
      <c r="AB68" s="104">
        <v>43656</v>
      </c>
      <c r="AC68" s="82" t="s">
        <v>2411</v>
      </c>
      <c r="AD68" s="82">
        <v>453</v>
      </c>
      <c r="AE68" s="82">
        <v>520</v>
      </c>
      <c r="AF68" s="82">
        <v>2.16</v>
      </c>
      <c r="AG68" s="82">
        <v>24</v>
      </c>
      <c r="AH68" s="102">
        <f>AF68*AD68*AG68*0.0036</f>
        <v>84.540672</v>
      </c>
      <c r="AI68" s="102">
        <f>AF68*AE68*AG68*0.0036</f>
        <v>97.04448000000001</v>
      </c>
      <c r="AJ68" s="2">
        <v>30</v>
      </c>
      <c r="AK68" s="1">
        <v>12</v>
      </c>
      <c r="AL68" s="1">
        <v>0.51</v>
      </c>
      <c r="AM68" s="1">
        <v>0.58</v>
      </c>
      <c r="AN68" s="127">
        <f>AH68*AJ68*AK68*AL68</f>
        <v>15521.6673792</v>
      </c>
      <c r="AO68" s="128">
        <f>AI68*AJ68*AK68*AM68</f>
        <v>20262.887424</v>
      </c>
      <c r="AP68" s="13"/>
    </row>
    <row r="69" spans="1:42" ht="68.25" customHeight="1">
      <c r="A69" s="2">
        <v>55</v>
      </c>
      <c r="B69" s="2">
        <v>55</v>
      </c>
      <c r="C69" s="2" t="s">
        <v>74</v>
      </c>
      <c r="D69" s="2" t="s">
        <v>6</v>
      </c>
      <c r="E69" s="2">
        <v>2</v>
      </c>
      <c r="F69" s="2" t="s">
        <v>1398</v>
      </c>
      <c r="G69" s="2" t="s">
        <v>1399</v>
      </c>
      <c r="H69" s="2" t="s">
        <v>2508</v>
      </c>
      <c r="I69" s="1" t="s">
        <v>4166</v>
      </c>
      <c r="J69" s="1" t="s">
        <v>4127</v>
      </c>
      <c r="K69" s="63">
        <v>29104391</v>
      </c>
      <c r="L69" s="1" t="s">
        <v>2438</v>
      </c>
      <c r="M69" s="1">
        <v>3447000</v>
      </c>
      <c r="N69" s="1" t="s">
        <v>3735</v>
      </c>
      <c r="O69" s="1" t="s">
        <v>2439</v>
      </c>
      <c r="P69" s="1">
        <v>3428</v>
      </c>
      <c r="Q69" s="64">
        <v>43073</v>
      </c>
      <c r="R69" s="64">
        <v>46724</v>
      </c>
      <c r="S69" s="62" t="s">
        <v>2440</v>
      </c>
      <c r="T69" s="1" t="s">
        <v>2442</v>
      </c>
      <c r="U69" s="9" t="s">
        <v>2443</v>
      </c>
      <c r="V69" s="13" t="s">
        <v>3402</v>
      </c>
      <c r="W69" s="13" t="s">
        <v>3403</v>
      </c>
      <c r="X69" s="13">
        <v>2649</v>
      </c>
      <c r="Y69" s="60">
        <v>89838.2</v>
      </c>
      <c r="Z69" s="60">
        <v>94961.48</v>
      </c>
      <c r="AA69" s="2" t="s">
        <v>4040</v>
      </c>
      <c r="AB69" s="67">
        <v>43299</v>
      </c>
      <c r="AC69" s="50">
        <v>0.4895833333333333</v>
      </c>
      <c r="AD69" s="93"/>
      <c r="AE69" s="93"/>
      <c r="AF69" s="93"/>
      <c r="AG69" s="93"/>
      <c r="AH69" s="93"/>
      <c r="AI69" s="93"/>
      <c r="AJ69" s="93"/>
      <c r="AK69" s="93"/>
      <c r="AL69" s="93"/>
      <c r="AM69" s="93"/>
      <c r="AN69" s="117">
        <v>138558.4286028263</v>
      </c>
      <c r="AO69" s="118">
        <v>61311.0714175957</v>
      </c>
      <c r="AP69" s="13" t="s">
        <v>2413</v>
      </c>
    </row>
    <row r="70" spans="1:42" ht="33.75" customHeight="1">
      <c r="A70" s="2">
        <v>56</v>
      </c>
      <c r="B70" s="2">
        <v>56</v>
      </c>
      <c r="C70" s="2" t="s">
        <v>74</v>
      </c>
      <c r="D70" s="2" t="s">
        <v>6</v>
      </c>
      <c r="E70" s="2">
        <v>2</v>
      </c>
      <c r="F70" s="2" t="s">
        <v>1400</v>
      </c>
      <c r="G70" s="2" t="s">
        <v>1401</v>
      </c>
      <c r="H70" s="2" t="s">
        <v>2508</v>
      </c>
      <c r="I70" s="1" t="s">
        <v>4166</v>
      </c>
      <c r="J70" s="1" t="s">
        <v>4127</v>
      </c>
      <c r="K70" s="63">
        <v>29104391</v>
      </c>
      <c r="L70" s="1" t="s">
        <v>2438</v>
      </c>
      <c r="M70" s="1">
        <v>3447000</v>
      </c>
      <c r="N70" s="1" t="s">
        <v>3735</v>
      </c>
      <c r="O70" s="1" t="s">
        <v>2439</v>
      </c>
      <c r="P70" s="1">
        <v>3428</v>
      </c>
      <c r="Q70" s="64">
        <v>43073</v>
      </c>
      <c r="R70" s="64">
        <v>46724</v>
      </c>
      <c r="S70" s="62" t="s">
        <v>2440</v>
      </c>
      <c r="T70" s="1" t="s">
        <v>2442</v>
      </c>
      <c r="U70" s="9" t="s">
        <v>2445</v>
      </c>
      <c r="V70" s="13" t="s">
        <v>3404</v>
      </c>
      <c r="W70" s="13" t="s">
        <v>3405</v>
      </c>
      <c r="X70" s="13">
        <v>2641</v>
      </c>
      <c r="Y70" s="60">
        <v>89809.61</v>
      </c>
      <c r="Z70" s="60">
        <v>94799.26</v>
      </c>
      <c r="AA70" s="2" t="s">
        <v>4046</v>
      </c>
      <c r="AB70" s="67"/>
      <c r="AC70" s="2"/>
      <c r="AD70" s="69"/>
      <c r="AE70" s="69"/>
      <c r="AF70" s="69"/>
      <c r="AG70" s="69"/>
      <c r="AH70" s="43"/>
      <c r="AI70" s="43"/>
      <c r="AJ70" s="2"/>
      <c r="AK70" s="1"/>
      <c r="AL70" s="1"/>
      <c r="AM70" s="1"/>
      <c r="AN70" s="117">
        <f>AVERAGE(AN71:AN72)</f>
        <v>31466.403901439993</v>
      </c>
      <c r="AO70" s="117">
        <f>AVERAGE(AO71:AO72)</f>
        <v>19051.987304447997</v>
      </c>
      <c r="AP70" s="13" t="s">
        <v>2413</v>
      </c>
    </row>
    <row r="71" spans="1:42" ht="46.5" customHeight="1">
      <c r="A71" s="2"/>
      <c r="B71" s="2"/>
      <c r="C71" s="2"/>
      <c r="D71" s="2"/>
      <c r="E71" s="2"/>
      <c r="F71" s="2"/>
      <c r="G71" s="2"/>
      <c r="H71" s="2"/>
      <c r="I71" s="1"/>
      <c r="J71" s="1"/>
      <c r="K71" s="63"/>
      <c r="L71" s="1"/>
      <c r="M71" s="1"/>
      <c r="N71" s="1"/>
      <c r="O71" s="1"/>
      <c r="P71" s="1"/>
      <c r="Q71" s="64"/>
      <c r="R71" s="64"/>
      <c r="S71" s="62"/>
      <c r="T71" s="1"/>
      <c r="U71" s="9"/>
      <c r="V71" s="13"/>
      <c r="W71" s="13"/>
      <c r="X71" s="13"/>
      <c r="Y71" s="60"/>
      <c r="Z71" s="60"/>
      <c r="AA71" s="2" t="s">
        <v>3753</v>
      </c>
      <c r="AB71" s="67">
        <v>43690</v>
      </c>
      <c r="AC71" s="2" t="s">
        <v>2496</v>
      </c>
      <c r="AD71" s="69">
        <v>217</v>
      </c>
      <c r="AE71" s="69">
        <v>184</v>
      </c>
      <c r="AF71" s="134">
        <f>(5.556+5.152+6.001+5.799+5.92)/5</f>
        <v>5.685599999999999</v>
      </c>
      <c r="AG71" s="69">
        <v>24</v>
      </c>
      <c r="AH71" s="102">
        <f>AF71*AD71*AG71*0.0036</f>
        <v>106.59817727999997</v>
      </c>
      <c r="AI71" s="102">
        <f>AF71*AE71*AG71*0.0036</f>
        <v>90.38739455999999</v>
      </c>
      <c r="AJ71" s="2">
        <v>30</v>
      </c>
      <c r="AK71" s="1">
        <v>12</v>
      </c>
      <c r="AL71" s="1">
        <v>0.6</v>
      </c>
      <c r="AM71" s="1">
        <v>0.56</v>
      </c>
      <c r="AN71" s="127">
        <f>AH71*AJ71*AK71*AL71</f>
        <v>23025.20629247999</v>
      </c>
      <c r="AO71" s="128">
        <f>AI71*AJ71*AK71*AM71</f>
        <v>18222.098743296</v>
      </c>
      <c r="AP71" s="13"/>
    </row>
    <row r="72" spans="1:42" ht="38.25" customHeight="1">
      <c r="A72" s="2"/>
      <c r="B72" s="2"/>
      <c r="C72" s="2"/>
      <c r="D72" s="2"/>
      <c r="E72" s="2"/>
      <c r="F72" s="2"/>
      <c r="G72" s="2"/>
      <c r="H72" s="2"/>
      <c r="I72" s="1"/>
      <c r="J72" s="1"/>
      <c r="K72" s="63"/>
      <c r="L72" s="1"/>
      <c r="M72" s="1"/>
      <c r="N72" s="1"/>
      <c r="O72" s="1"/>
      <c r="P72" s="1"/>
      <c r="Q72" s="64"/>
      <c r="R72" s="64"/>
      <c r="S72" s="62"/>
      <c r="T72" s="1"/>
      <c r="U72" s="9"/>
      <c r="V72" s="13"/>
      <c r="W72" s="13"/>
      <c r="X72" s="13"/>
      <c r="Y72" s="60"/>
      <c r="Z72" s="60"/>
      <c r="AA72" s="2" t="s">
        <v>4103</v>
      </c>
      <c r="AB72" s="67">
        <v>43710</v>
      </c>
      <c r="AC72" s="2" t="s">
        <v>2410</v>
      </c>
      <c r="AD72" s="69">
        <v>442</v>
      </c>
      <c r="AE72" s="69">
        <v>224</v>
      </c>
      <c r="AF72" s="69">
        <v>4.92</v>
      </c>
      <c r="AG72" s="69">
        <v>24</v>
      </c>
      <c r="AH72" s="102">
        <f>AF72*AD72*AG72*0.0036</f>
        <v>187.888896</v>
      </c>
      <c r="AI72" s="102">
        <f>AF72*AE72*AG72*0.0036</f>
        <v>95.21971199999999</v>
      </c>
      <c r="AJ72" s="2">
        <v>30</v>
      </c>
      <c r="AK72" s="1">
        <v>12</v>
      </c>
      <c r="AL72" s="1">
        <v>0.59</v>
      </c>
      <c r="AM72" s="1">
        <v>0.58</v>
      </c>
      <c r="AN72" s="127">
        <f>AH72*AJ72*AK72*AL72</f>
        <v>39907.601510399996</v>
      </c>
      <c r="AO72" s="128">
        <f>AI72*AJ72*AK72*AM72</f>
        <v>19881.875865599995</v>
      </c>
      <c r="AP72" s="13"/>
    </row>
    <row r="73" spans="1:42" ht="12.75">
      <c r="A73" s="2"/>
      <c r="B73" s="226" t="s">
        <v>2544</v>
      </c>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119">
        <f>AN48+AN49+AN50+AN53+AN57+AN58+AN59+AN60+AN63+AN64+AN65+AN66+AN69+AN70</f>
        <v>300745.61003834626</v>
      </c>
      <c r="AO73" s="119">
        <f>AO48+AO49+AO50+AO53+AO57+AO58+AO59+AO60+AO63+AO64+AO65+AO66+AO69+AO70</f>
        <v>119763.61868748369</v>
      </c>
      <c r="AP73" s="66"/>
    </row>
    <row r="74" spans="1:42" ht="12.75">
      <c r="A74" s="2"/>
      <c r="B74" s="227" t="s">
        <v>2545</v>
      </c>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73">
        <f>SUM(AN46:AN70)-AN51-AN52-AN61-AN62-AN67-AN68</f>
        <v>302248.19451194635</v>
      </c>
      <c r="AO74" s="73">
        <f>SUM(AO46:AO70)-AO51-AO52-AO61-AO62-AO67-AO68</f>
        <v>121509.0756346837</v>
      </c>
      <c r="AP74" s="66"/>
    </row>
    <row r="75" spans="1:42" ht="25.5">
      <c r="A75" s="2">
        <v>57</v>
      </c>
      <c r="B75" s="2">
        <v>57</v>
      </c>
      <c r="C75" s="2" t="s">
        <v>1402</v>
      </c>
      <c r="D75" s="2" t="s">
        <v>6</v>
      </c>
      <c r="E75" s="2">
        <v>3</v>
      </c>
      <c r="F75" s="13" t="s">
        <v>1403</v>
      </c>
      <c r="G75" s="2" t="s">
        <v>1404</v>
      </c>
      <c r="H75" s="2" t="s">
        <v>2508</v>
      </c>
      <c r="I75" s="1" t="s">
        <v>4166</v>
      </c>
      <c r="J75" s="1" t="s">
        <v>4127</v>
      </c>
      <c r="K75" s="63">
        <v>29104391</v>
      </c>
      <c r="L75" s="1" t="s">
        <v>2438</v>
      </c>
      <c r="M75" s="1">
        <v>3447000</v>
      </c>
      <c r="N75" s="1" t="s">
        <v>3735</v>
      </c>
      <c r="O75" s="1" t="s">
        <v>4181</v>
      </c>
      <c r="P75" s="1">
        <v>3428</v>
      </c>
      <c r="Q75" s="64">
        <v>43073</v>
      </c>
      <c r="R75" s="64">
        <v>46724</v>
      </c>
      <c r="S75" s="62" t="s">
        <v>2440</v>
      </c>
      <c r="T75" s="30" t="s">
        <v>2436</v>
      </c>
      <c r="U75" s="9" t="s">
        <v>2447</v>
      </c>
      <c r="V75" s="13" t="s">
        <v>3406</v>
      </c>
      <c r="W75" s="13" t="s">
        <v>1405</v>
      </c>
      <c r="X75" s="29">
        <v>2660</v>
      </c>
      <c r="Y75" s="60">
        <v>92985.28</v>
      </c>
      <c r="Z75" s="60">
        <v>96540.919</v>
      </c>
      <c r="AA75" s="2" t="s">
        <v>3741</v>
      </c>
      <c r="AB75" s="66"/>
      <c r="AC75" s="66"/>
      <c r="AD75" s="66"/>
      <c r="AE75" s="66"/>
      <c r="AF75" s="66"/>
      <c r="AG75" s="66"/>
      <c r="AH75" s="43"/>
      <c r="AI75" s="43"/>
      <c r="AJ75" s="2"/>
      <c r="AK75" s="1"/>
      <c r="AL75" s="1"/>
      <c r="AM75" s="1"/>
      <c r="AN75" s="44">
        <f t="shared" si="0"/>
        <v>0</v>
      </c>
      <c r="AO75" s="45">
        <f t="shared" si="1"/>
        <v>0</v>
      </c>
      <c r="AP75" s="66"/>
    </row>
    <row r="76" spans="1:42" ht="25.5">
      <c r="A76" s="2">
        <v>58</v>
      </c>
      <c r="B76" s="2">
        <v>58</v>
      </c>
      <c r="C76" s="2" t="s">
        <v>75</v>
      </c>
      <c r="D76" s="2" t="s">
        <v>6</v>
      </c>
      <c r="E76" s="2">
        <v>3</v>
      </c>
      <c r="F76" s="1" t="s">
        <v>1406</v>
      </c>
      <c r="G76" s="1" t="s">
        <v>1407</v>
      </c>
      <c r="H76" s="2" t="s">
        <v>2508</v>
      </c>
      <c r="I76" s="1" t="s">
        <v>4166</v>
      </c>
      <c r="J76" s="1" t="s">
        <v>4127</v>
      </c>
      <c r="K76" s="63">
        <v>29104391</v>
      </c>
      <c r="L76" s="1" t="s">
        <v>2438</v>
      </c>
      <c r="M76" s="1">
        <v>3447000</v>
      </c>
      <c r="N76" s="1" t="s">
        <v>3735</v>
      </c>
      <c r="O76" s="1" t="s">
        <v>4181</v>
      </c>
      <c r="P76" s="1">
        <v>3428</v>
      </c>
      <c r="Q76" s="64">
        <v>43073</v>
      </c>
      <c r="R76" s="64">
        <v>46724</v>
      </c>
      <c r="S76" s="62" t="s">
        <v>2440</v>
      </c>
      <c r="T76" s="30" t="s">
        <v>2436</v>
      </c>
      <c r="U76" s="9" t="s">
        <v>2447</v>
      </c>
      <c r="V76" s="13" t="s">
        <v>3407</v>
      </c>
      <c r="W76" s="13" t="s">
        <v>1408</v>
      </c>
      <c r="X76" s="29">
        <v>2792</v>
      </c>
      <c r="Y76" s="60">
        <v>92440.804</v>
      </c>
      <c r="Z76" s="60">
        <v>97395.175</v>
      </c>
      <c r="AA76" s="2" t="s">
        <v>3741</v>
      </c>
      <c r="AB76" s="66"/>
      <c r="AC76" s="66"/>
      <c r="AD76" s="66"/>
      <c r="AE76" s="66"/>
      <c r="AF76" s="66"/>
      <c r="AG76" s="66"/>
      <c r="AH76" s="43"/>
      <c r="AI76" s="43"/>
      <c r="AJ76" s="2"/>
      <c r="AK76" s="1"/>
      <c r="AL76" s="1"/>
      <c r="AM76" s="1"/>
      <c r="AN76" s="44">
        <f t="shared" si="0"/>
        <v>0</v>
      </c>
      <c r="AO76" s="45">
        <f t="shared" si="1"/>
        <v>0</v>
      </c>
      <c r="AP76" s="66"/>
    </row>
    <row r="77" spans="1:42" ht="48.75" customHeight="1">
      <c r="A77" s="2">
        <v>59</v>
      </c>
      <c r="B77" s="2">
        <v>59</v>
      </c>
      <c r="C77" s="1" t="s">
        <v>75</v>
      </c>
      <c r="D77" s="1" t="s">
        <v>6</v>
      </c>
      <c r="E77" s="1">
        <v>3</v>
      </c>
      <c r="F77" s="1" t="s">
        <v>1409</v>
      </c>
      <c r="G77" s="2" t="s">
        <v>1410</v>
      </c>
      <c r="H77" s="2" t="s">
        <v>2508</v>
      </c>
      <c r="I77" s="1" t="s">
        <v>4166</v>
      </c>
      <c r="J77" s="1" t="s">
        <v>4127</v>
      </c>
      <c r="K77" s="63">
        <v>29104391</v>
      </c>
      <c r="L77" s="1" t="s">
        <v>2438</v>
      </c>
      <c r="M77" s="1">
        <v>3447000</v>
      </c>
      <c r="N77" s="1" t="s">
        <v>3735</v>
      </c>
      <c r="O77" s="1" t="s">
        <v>4181</v>
      </c>
      <c r="P77" s="1">
        <v>3428</v>
      </c>
      <c r="Q77" s="64">
        <v>43073</v>
      </c>
      <c r="R77" s="64">
        <v>46724</v>
      </c>
      <c r="S77" s="62" t="s">
        <v>2440</v>
      </c>
      <c r="T77" s="1" t="s">
        <v>2442</v>
      </c>
      <c r="U77" s="9" t="s">
        <v>2444</v>
      </c>
      <c r="V77" s="29" t="s">
        <v>3408</v>
      </c>
      <c r="W77" s="29" t="s">
        <v>1411</v>
      </c>
      <c r="X77" s="29">
        <v>2650</v>
      </c>
      <c r="Y77" s="60">
        <v>93131.24</v>
      </c>
      <c r="Z77" s="60">
        <v>96524.87</v>
      </c>
      <c r="AA77" s="2" t="s">
        <v>3753</v>
      </c>
      <c r="AB77" s="67">
        <v>43707</v>
      </c>
      <c r="AC77" s="2" t="s">
        <v>2475</v>
      </c>
      <c r="AD77" s="69">
        <v>75</v>
      </c>
      <c r="AE77" s="69">
        <v>61</v>
      </c>
      <c r="AF77" s="69">
        <v>0.434</v>
      </c>
      <c r="AG77" s="69">
        <v>24</v>
      </c>
      <c r="AH77" s="43">
        <f>AF77*AD77*AG77*0.0036</f>
        <v>2.8123199999999997</v>
      </c>
      <c r="AI77" s="43">
        <f>AF77*AE77*AG77*0.0036</f>
        <v>2.2873536</v>
      </c>
      <c r="AJ77" s="2">
        <v>30</v>
      </c>
      <c r="AK77" s="1">
        <v>12</v>
      </c>
      <c r="AL77" s="1">
        <v>0.72</v>
      </c>
      <c r="AM77" s="1">
        <v>0.76</v>
      </c>
      <c r="AN77" s="117">
        <f>AH77*AJ77*AK77*AL77</f>
        <v>728.9533439999999</v>
      </c>
      <c r="AO77" s="118">
        <f t="shared" si="1"/>
        <v>625.8199449599999</v>
      </c>
      <c r="AP77" s="13" t="s">
        <v>2405</v>
      </c>
    </row>
    <row r="78" spans="1:42" ht="25.5">
      <c r="A78" s="2">
        <v>60</v>
      </c>
      <c r="B78" s="2">
        <v>60</v>
      </c>
      <c r="C78" s="1" t="s">
        <v>75</v>
      </c>
      <c r="D78" s="1" t="s">
        <v>6</v>
      </c>
      <c r="E78" s="1">
        <v>3</v>
      </c>
      <c r="F78" s="1" t="s">
        <v>1412</v>
      </c>
      <c r="G78" s="2" t="s">
        <v>1413</v>
      </c>
      <c r="H78" s="2" t="s">
        <v>2508</v>
      </c>
      <c r="I78" s="1" t="s">
        <v>4166</v>
      </c>
      <c r="J78" s="1" t="s">
        <v>4127</v>
      </c>
      <c r="K78" s="63">
        <v>29104391</v>
      </c>
      <c r="L78" s="1" t="s">
        <v>2438</v>
      </c>
      <c r="M78" s="1">
        <v>3447000</v>
      </c>
      <c r="N78" s="1" t="s">
        <v>3735</v>
      </c>
      <c r="O78" s="1" t="s">
        <v>4181</v>
      </c>
      <c r="P78" s="1">
        <v>3428</v>
      </c>
      <c r="Q78" s="64">
        <v>43073</v>
      </c>
      <c r="R78" s="64">
        <v>46724</v>
      </c>
      <c r="S78" s="62" t="s">
        <v>2440</v>
      </c>
      <c r="T78" s="1" t="s">
        <v>2442</v>
      </c>
      <c r="U78" s="9" t="s">
        <v>2444</v>
      </c>
      <c r="V78" s="29" t="s">
        <v>3409</v>
      </c>
      <c r="W78" s="29" t="s">
        <v>1414</v>
      </c>
      <c r="X78" s="29">
        <v>2649</v>
      </c>
      <c r="Y78" s="60">
        <v>93125.09</v>
      </c>
      <c r="Z78" s="60">
        <v>96523.64</v>
      </c>
      <c r="AA78" s="2" t="s">
        <v>3741</v>
      </c>
      <c r="AB78" s="66"/>
      <c r="AC78" s="66"/>
      <c r="AD78" s="93"/>
      <c r="AE78" s="93"/>
      <c r="AF78" s="93"/>
      <c r="AG78" s="93"/>
      <c r="AH78" s="93"/>
      <c r="AI78" s="93"/>
      <c r="AJ78" s="93"/>
      <c r="AK78" s="93"/>
      <c r="AL78" s="93"/>
      <c r="AM78" s="93"/>
      <c r="AN78" s="117">
        <f t="shared" si="0"/>
        <v>0</v>
      </c>
      <c r="AO78" s="118">
        <f t="shared" si="1"/>
        <v>0</v>
      </c>
      <c r="AP78" s="13" t="s">
        <v>2413</v>
      </c>
    </row>
    <row r="79" spans="1:42" ht="51">
      <c r="A79" s="2">
        <v>61</v>
      </c>
      <c r="B79" s="2">
        <v>61</v>
      </c>
      <c r="C79" s="1" t="s">
        <v>1415</v>
      </c>
      <c r="D79" s="2" t="s">
        <v>6</v>
      </c>
      <c r="E79" s="2">
        <v>3</v>
      </c>
      <c r="F79" s="2" t="s">
        <v>1416</v>
      </c>
      <c r="G79" s="2" t="s">
        <v>1417</v>
      </c>
      <c r="H79" s="2" t="s">
        <v>2508</v>
      </c>
      <c r="I79" s="1" t="s">
        <v>4166</v>
      </c>
      <c r="J79" s="1" t="s">
        <v>4127</v>
      </c>
      <c r="K79" s="63">
        <v>29104391</v>
      </c>
      <c r="L79" s="1" t="s">
        <v>2438</v>
      </c>
      <c r="M79" s="1">
        <v>3447000</v>
      </c>
      <c r="N79" s="1" t="s">
        <v>3735</v>
      </c>
      <c r="O79" s="1" t="s">
        <v>4181</v>
      </c>
      <c r="P79" s="1">
        <v>3428</v>
      </c>
      <c r="Q79" s="64">
        <v>43073</v>
      </c>
      <c r="R79" s="64">
        <v>46724</v>
      </c>
      <c r="S79" s="62" t="s">
        <v>2440</v>
      </c>
      <c r="T79" s="29" t="s">
        <v>2442</v>
      </c>
      <c r="U79" s="9" t="s">
        <v>2443</v>
      </c>
      <c r="V79" s="13" t="s">
        <v>3410</v>
      </c>
      <c r="W79" s="13" t="s">
        <v>1418</v>
      </c>
      <c r="X79" s="29">
        <v>2648</v>
      </c>
      <c r="Y79" s="60">
        <v>93114.956</v>
      </c>
      <c r="Z79" s="60">
        <v>96489.721</v>
      </c>
      <c r="AA79" s="2" t="s">
        <v>3741</v>
      </c>
      <c r="AB79" s="66"/>
      <c r="AC79" s="66"/>
      <c r="AD79" s="66"/>
      <c r="AE79" s="66"/>
      <c r="AF79" s="66"/>
      <c r="AG79" s="66"/>
      <c r="AH79" s="43"/>
      <c r="AI79" s="43"/>
      <c r="AJ79" s="2"/>
      <c r="AK79" s="1"/>
      <c r="AL79" s="1"/>
      <c r="AM79" s="1"/>
      <c r="AN79" s="44">
        <f t="shared" si="0"/>
        <v>0</v>
      </c>
      <c r="AO79" s="45">
        <f t="shared" si="1"/>
        <v>0</v>
      </c>
      <c r="AP79" s="66"/>
    </row>
    <row r="80" spans="1:42" ht="25.5">
      <c r="A80" s="2">
        <v>62</v>
      </c>
      <c r="B80" s="2">
        <v>62</v>
      </c>
      <c r="C80" s="2" t="s">
        <v>75</v>
      </c>
      <c r="D80" s="2" t="s">
        <v>6</v>
      </c>
      <c r="E80" s="2">
        <v>3</v>
      </c>
      <c r="F80" s="13" t="s">
        <v>1419</v>
      </c>
      <c r="G80" s="13" t="s">
        <v>1420</v>
      </c>
      <c r="H80" s="2" t="s">
        <v>2508</v>
      </c>
      <c r="I80" s="1" t="s">
        <v>4166</v>
      </c>
      <c r="J80" s="1" t="s">
        <v>4127</v>
      </c>
      <c r="K80" s="63">
        <v>29104391</v>
      </c>
      <c r="L80" s="1" t="s">
        <v>2438</v>
      </c>
      <c r="M80" s="1">
        <v>3447000</v>
      </c>
      <c r="N80" s="1" t="s">
        <v>3735</v>
      </c>
      <c r="O80" s="1" t="s">
        <v>4181</v>
      </c>
      <c r="P80" s="1">
        <v>3428</v>
      </c>
      <c r="Q80" s="64">
        <v>43073</v>
      </c>
      <c r="R80" s="64">
        <v>46724</v>
      </c>
      <c r="S80" s="62" t="s">
        <v>2440</v>
      </c>
      <c r="T80" s="30" t="s">
        <v>2436</v>
      </c>
      <c r="U80" s="9" t="s">
        <v>2444</v>
      </c>
      <c r="V80" s="13" t="s">
        <v>3411</v>
      </c>
      <c r="W80" s="13" t="s">
        <v>1421</v>
      </c>
      <c r="X80" s="29">
        <v>2638</v>
      </c>
      <c r="Y80" s="60">
        <v>93177.637</v>
      </c>
      <c r="Z80" s="60">
        <v>96360.814</v>
      </c>
      <c r="AA80" s="2" t="s">
        <v>3741</v>
      </c>
      <c r="AB80" s="66"/>
      <c r="AC80" s="66"/>
      <c r="AD80" s="66"/>
      <c r="AE80" s="66"/>
      <c r="AF80" s="66"/>
      <c r="AG80" s="66"/>
      <c r="AH80" s="43"/>
      <c r="AI80" s="43"/>
      <c r="AJ80" s="2"/>
      <c r="AK80" s="1"/>
      <c r="AL80" s="1"/>
      <c r="AM80" s="1"/>
      <c r="AN80" s="44">
        <f t="shared" si="0"/>
        <v>0</v>
      </c>
      <c r="AO80" s="45">
        <f t="shared" si="1"/>
        <v>0</v>
      </c>
      <c r="AP80" s="66"/>
    </row>
    <row r="81" spans="1:42" ht="48.75" customHeight="1">
      <c r="A81" s="2">
        <v>63</v>
      </c>
      <c r="B81" s="2">
        <v>63</v>
      </c>
      <c r="C81" s="1" t="s">
        <v>75</v>
      </c>
      <c r="D81" s="1" t="s">
        <v>6</v>
      </c>
      <c r="E81" s="1">
        <v>3</v>
      </c>
      <c r="F81" s="1" t="s">
        <v>1422</v>
      </c>
      <c r="G81" s="2" t="s">
        <v>1423</v>
      </c>
      <c r="H81" s="2" t="s">
        <v>2508</v>
      </c>
      <c r="I81" s="1" t="s">
        <v>4166</v>
      </c>
      <c r="J81" s="1" t="s">
        <v>4127</v>
      </c>
      <c r="K81" s="63">
        <v>29104391</v>
      </c>
      <c r="L81" s="1" t="s">
        <v>2438</v>
      </c>
      <c r="M81" s="1">
        <v>3447000</v>
      </c>
      <c r="N81" s="1" t="s">
        <v>3735</v>
      </c>
      <c r="O81" s="1" t="s">
        <v>4181</v>
      </c>
      <c r="P81" s="1">
        <v>3428</v>
      </c>
      <c r="Q81" s="64">
        <v>43073</v>
      </c>
      <c r="R81" s="64">
        <v>46724</v>
      </c>
      <c r="S81" s="62" t="s">
        <v>2440</v>
      </c>
      <c r="T81" s="29" t="s">
        <v>2441</v>
      </c>
      <c r="U81" s="9" t="s">
        <v>2444</v>
      </c>
      <c r="V81" s="29" t="s">
        <v>3412</v>
      </c>
      <c r="W81" s="29" t="s">
        <v>1424</v>
      </c>
      <c r="X81" s="29">
        <v>2638</v>
      </c>
      <c r="Y81" s="60">
        <v>93184.7</v>
      </c>
      <c r="Z81" s="60">
        <v>96351.56</v>
      </c>
      <c r="AA81" s="2" t="s">
        <v>3810</v>
      </c>
      <c r="AB81" s="67">
        <v>43326</v>
      </c>
      <c r="AC81" s="50">
        <v>0.3993055555555556</v>
      </c>
      <c r="AD81" s="93"/>
      <c r="AE81" s="93"/>
      <c r="AF81" s="93"/>
      <c r="AG81" s="93"/>
      <c r="AH81" s="93"/>
      <c r="AI81" s="93"/>
      <c r="AJ81" s="93"/>
      <c r="AK81" s="93"/>
      <c r="AL81" s="93"/>
      <c r="AM81" s="93"/>
      <c r="AN81" s="117">
        <f t="shared" si="0"/>
        <v>0</v>
      </c>
      <c r="AO81" s="118">
        <f t="shared" si="1"/>
        <v>0</v>
      </c>
      <c r="AP81" s="13" t="s">
        <v>2413</v>
      </c>
    </row>
    <row r="82" spans="1:42" ht="25.5">
      <c r="A82" s="2">
        <v>64</v>
      </c>
      <c r="B82" s="2">
        <v>64</v>
      </c>
      <c r="C82" s="2" t="s">
        <v>75</v>
      </c>
      <c r="D82" s="2" t="s">
        <v>6</v>
      </c>
      <c r="E82" s="2">
        <v>3</v>
      </c>
      <c r="F82" s="13" t="s">
        <v>1425</v>
      </c>
      <c r="G82" s="13" t="s">
        <v>1426</v>
      </c>
      <c r="H82" s="2" t="s">
        <v>2508</v>
      </c>
      <c r="I82" s="1" t="s">
        <v>4166</v>
      </c>
      <c r="J82" s="1" t="s">
        <v>4127</v>
      </c>
      <c r="K82" s="63">
        <v>29104391</v>
      </c>
      <c r="L82" s="1" t="s">
        <v>2438</v>
      </c>
      <c r="M82" s="1">
        <v>3447000</v>
      </c>
      <c r="N82" s="1" t="s">
        <v>3735</v>
      </c>
      <c r="O82" s="1" t="s">
        <v>4181</v>
      </c>
      <c r="P82" s="1">
        <v>3428</v>
      </c>
      <c r="Q82" s="64">
        <v>43073</v>
      </c>
      <c r="R82" s="64">
        <v>46724</v>
      </c>
      <c r="S82" s="62" t="s">
        <v>2440</v>
      </c>
      <c r="T82" s="29" t="s">
        <v>2441</v>
      </c>
      <c r="U82" s="9" t="s">
        <v>2447</v>
      </c>
      <c r="V82" s="13" t="s">
        <v>3413</v>
      </c>
      <c r="W82" s="13" t="s">
        <v>1427</v>
      </c>
      <c r="X82" s="29">
        <v>2636</v>
      </c>
      <c r="Y82" s="60">
        <v>93200.06</v>
      </c>
      <c r="Z82" s="60">
        <v>96323.8</v>
      </c>
      <c r="AA82" s="2" t="s">
        <v>3741</v>
      </c>
      <c r="AB82" s="66"/>
      <c r="AC82" s="66"/>
      <c r="AD82" s="66"/>
      <c r="AE82" s="66"/>
      <c r="AF82" s="66"/>
      <c r="AG82" s="66"/>
      <c r="AH82" s="43"/>
      <c r="AI82" s="43"/>
      <c r="AJ82" s="2"/>
      <c r="AK82" s="1"/>
      <c r="AL82" s="1"/>
      <c r="AM82" s="1"/>
      <c r="AN82" s="44">
        <f aca="true" t="shared" si="2" ref="AN82:AN158">AH82*AJ82*AK82*AL82</f>
        <v>0</v>
      </c>
      <c r="AO82" s="45">
        <f aca="true" t="shared" si="3" ref="AO82:AO158">AI82*AJ82*AK82*AM82</f>
        <v>0</v>
      </c>
      <c r="AP82" s="2" t="s">
        <v>2413</v>
      </c>
    </row>
    <row r="83" spans="1:42" ht="57" customHeight="1">
      <c r="A83" s="2">
        <v>65</v>
      </c>
      <c r="B83" s="2">
        <v>65</v>
      </c>
      <c r="C83" s="1" t="s">
        <v>75</v>
      </c>
      <c r="D83" s="1" t="s">
        <v>6</v>
      </c>
      <c r="E83" s="1">
        <v>3</v>
      </c>
      <c r="F83" s="1" t="s">
        <v>1428</v>
      </c>
      <c r="G83" s="2" t="s">
        <v>1429</v>
      </c>
      <c r="H83" s="2" t="s">
        <v>2508</v>
      </c>
      <c r="I83" s="1" t="s">
        <v>4166</v>
      </c>
      <c r="J83" s="1" t="s">
        <v>4127</v>
      </c>
      <c r="K83" s="63">
        <v>29104391</v>
      </c>
      <c r="L83" s="1" t="s">
        <v>2438</v>
      </c>
      <c r="M83" s="1">
        <v>3447000</v>
      </c>
      <c r="N83" s="1" t="s">
        <v>3735</v>
      </c>
      <c r="O83" s="1" t="s">
        <v>4181</v>
      </c>
      <c r="P83" s="1">
        <v>3428</v>
      </c>
      <c r="Q83" s="64">
        <v>43073</v>
      </c>
      <c r="R83" s="64">
        <v>46724</v>
      </c>
      <c r="S83" s="62" t="s">
        <v>2440</v>
      </c>
      <c r="T83" s="1" t="s">
        <v>2442</v>
      </c>
      <c r="U83" s="9" t="s">
        <v>2444</v>
      </c>
      <c r="V83" s="29" t="s">
        <v>3414</v>
      </c>
      <c r="W83" s="29" t="s">
        <v>3415</v>
      </c>
      <c r="X83" s="29">
        <v>2634</v>
      </c>
      <c r="Y83" s="60">
        <v>93188.38</v>
      </c>
      <c r="Z83" s="60">
        <v>96288.03</v>
      </c>
      <c r="AA83" s="2" t="s">
        <v>3810</v>
      </c>
      <c r="AB83" s="67">
        <v>43326</v>
      </c>
      <c r="AC83" s="50">
        <v>0.4166666666666667</v>
      </c>
      <c r="AD83" s="93"/>
      <c r="AE83" s="93"/>
      <c r="AF83" s="93"/>
      <c r="AG83" s="93"/>
      <c r="AH83" s="93"/>
      <c r="AI83" s="93"/>
      <c r="AJ83" s="93"/>
      <c r="AK83" s="93"/>
      <c r="AL83" s="93"/>
      <c r="AM83" s="93"/>
      <c r="AN83" s="117">
        <f t="shared" si="2"/>
        <v>0</v>
      </c>
      <c r="AO83" s="118">
        <f t="shared" si="3"/>
        <v>0</v>
      </c>
      <c r="AP83" s="13" t="s">
        <v>2413</v>
      </c>
    </row>
    <row r="84" spans="1:42" ht="48" customHeight="1">
      <c r="A84" s="2">
        <v>66</v>
      </c>
      <c r="B84" s="2">
        <v>66</v>
      </c>
      <c r="C84" s="1" t="s">
        <v>75</v>
      </c>
      <c r="D84" s="1" t="s">
        <v>6</v>
      </c>
      <c r="E84" s="1">
        <v>3</v>
      </c>
      <c r="F84" s="1" t="s">
        <v>1430</v>
      </c>
      <c r="G84" s="2" t="s">
        <v>1431</v>
      </c>
      <c r="H84" s="2" t="s">
        <v>2508</v>
      </c>
      <c r="I84" s="1" t="s">
        <v>4166</v>
      </c>
      <c r="J84" s="1" t="s">
        <v>4127</v>
      </c>
      <c r="K84" s="63">
        <v>29104391</v>
      </c>
      <c r="L84" s="1" t="s">
        <v>2438</v>
      </c>
      <c r="M84" s="1">
        <v>3447000</v>
      </c>
      <c r="N84" s="1" t="s">
        <v>3735</v>
      </c>
      <c r="O84" s="1" t="s">
        <v>4181</v>
      </c>
      <c r="P84" s="1">
        <v>3428</v>
      </c>
      <c r="Q84" s="64">
        <v>43073</v>
      </c>
      <c r="R84" s="64">
        <v>46724</v>
      </c>
      <c r="S84" s="62" t="s">
        <v>2440</v>
      </c>
      <c r="T84" s="29" t="s">
        <v>2441</v>
      </c>
      <c r="U84" s="9" t="s">
        <v>2444</v>
      </c>
      <c r="V84" s="29" t="s">
        <v>3416</v>
      </c>
      <c r="W84" s="29" t="s">
        <v>3417</v>
      </c>
      <c r="X84" s="29">
        <v>2635</v>
      </c>
      <c r="Y84" s="60">
        <v>93194.84</v>
      </c>
      <c r="Z84" s="60">
        <v>96267.37</v>
      </c>
      <c r="AA84" s="2" t="s">
        <v>3811</v>
      </c>
      <c r="AB84" s="67">
        <v>43711</v>
      </c>
      <c r="AC84" s="50">
        <v>0.5347222222222222</v>
      </c>
      <c r="AD84" s="93"/>
      <c r="AE84" s="93"/>
      <c r="AF84" s="93"/>
      <c r="AG84" s="93"/>
      <c r="AH84" s="93"/>
      <c r="AI84" s="93"/>
      <c r="AJ84" s="93"/>
      <c r="AK84" s="93"/>
      <c r="AL84" s="93"/>
      <c r="AM84" s="93"/>
      <c r="AN84" s="117">
        <f t="shared" si="2"/>
        <v>0</v>
      </c>
      <c r="AO84" s="118">
        <f t="shared" si="3"/>
        <v>0</v>
      </c>
      <c r="AP84" s="13" t="s">
        <v>2413</v>
      </c>
    </row>
    <row r="85" spans="1:42" ht="51" customHeight="1">
      <c r="A85" s="2">
        <v>67</v>
      </c>
      <c r="B85" s="2">
        <v>67</v>
      </c>
      <c r="C85" s="1" t="s">
        <v>75</v>
      </c>
      <c r="D85" s="1" t="s">
        <v>6</v>
      </c>
      <c r="E85" s="1">
        <v>3</v>
      </c>
      <c r="F85" s="1" t="s">
        <v>1432</v>
      </c>
      <c r="G85" s="2" t="s">
        <v>1433</v>
      </c>
      <c r="H85" s="2" t="s">
        <v>2508</v>
      </c>
      <c r="I85" s="1" t="s">
        <v>4166</v>
      </c>
      <c r="J85" s="1" t="s">
        <v>4127</v>
      </c>
      <c r="K85" s="63">
        <v>29104391</v>
      </c>
      <c r="L85" s="1" t="s">
        <v>2438</v>
      </c>
      <c r="M85" s="1">
        <v>3447000</v>
      </c>
      <c r="N85" s="1" t="s">
        <v>3735</v>
      </c>
      <c r="O85" s="1" t="s">
        <v>4181</v>
      </c>
      <c r="P85" s="1">
        <v>3428</v>
      </c>
      <c r="Q85" s="64">
        <v>43073</v>
      </c>
      <c r="R85" s="64">
        <v>46724</v>
      </c>
      <c r="S85" s="62" t="s">
        <v>2440</v>
      </c>
      <c r="T85" s="29" t="s">
        <v>2441</v>
      </c>
      <c r="U85" s="9" t="s">
        <v>2444</v>
      </c>
      <c r="V85" s="29" t="s">
        <v>3418</v>
      </c>
      <c r="W85" s="29" t="s">
        <v>1434</v>
      </c>
      <c r="X85" s="29">
        <v>2633</v>
      </c>
      <c r="Y85" s="60">
        <v>93164.41</v>
      </c>
      <c r="Z85" s="60">
        <v>96195.52</v>
      </c>
      <c r="AA85" s="2" t="s">
        <v>3753</v>
      </c>
      <c r="AB85" s="104">
        <v>43711</v>
      </c>
      <c r="AC85" s="82" t="s">
        <v>2411</v>
      </c>
      <c r="AD85" s="82">
        <v>55</v>
      </c>
      <c r="AE85" s="82">
        <v>32</v>
      </c>
      <c r="AF85" s="82">
        <v>0.576</v>
      </c>
      <c r="AG85" s="82">
        <v>24</v>
      </c>
      <c r="AH85" s="102">
        <f>AF85*AD85*AG85*0.0036</f>
        <v>2.7371519999999996</v>
      </c>
      <c r="AI85" s="102">
        <f>AF85*AE85*AG85*0.0036</f>
        <v>1.5925247999999996</v>
      </c>
      <c r="AJ85" s="82">
        <v>30</v>
      </c>
      <c r="AK85" s="82">
        <v>12</v>
      </c>
      <c r="AL85" s="82">
        <v>0.51</v>
      </c>
      <c r="AM85" s="82">
        <v>0.58</v>
      </c>
      <c r="AN85" s="117">
        <f>AH85*AJ85*AK85*AL85</f>
        <v>502.5411071999999</v>
      </c>
      <c r="AO85" s="118">
        <f t="shared" si="3"/>
        <v>332.5191782399999</v>
      </c>
      <c r="AP85" s="13" t="s">
        <v>2413</v>
      </c>
    </row>
    <row r="86" spans="1:42" ht="46.5" customHeight="1">
      <c r="A86" s="2">
        <v>68</v>
      </c>
      <c r="B86" s="2">
        <v>68</v>
      </c>
      <c r="C86" s="1" t="s">
        <v>75</v>
      </c>
      <c r="D86" s="1" t="s">
        <v>6</v>
      </c>
      <c r="E86" s="1">
        <v>3</v>
      </c>
      <c r="F86" s="1" t="s">
        <v>1435</v>
      </c>
      <c r="G86" s="2" t="s">
        <v>1436</v>
      </c>
      <c r="H86" s="2" t="s">
        <v>2508</v>
      </c>
      <c r="I86" s="1" t="s">
        <v>4166</v>
      </c>
      <c r="J86" s="1" t="s">
        <v>4127</v>
      </c>
      <c r="K86" s="63">
        <v>29104391</v>
      </c>
      <c r="L86" s="1" t="s">
        <v>2438</v>
      </c>
      <c r="M86" s="1">
        <v>3447000</v>
      </c>
      <c r="N86" s="1" t="s">
        <v>3735</v>
      </c>
      <c r="O86" s="1" t="s">
        <v>4181</v>
      </c>
      <c r="P86" s="1">
        <v>3428</v>
      </c>
      <c r="Q86" s="64">
        <v>43073</v>
      </c>
      <c r="R86" s="64">
        <v>46724</v>
      </c>
      <c r="S86" s="62" t="s">
        <v>2440</v>
      </c>
      <c r="T86" s="29" t="s">
        <v>2441</v>
      </c>
      <c r="U86" s="9" t="s">
        <v>2444</v>
      </c>
      <c r="V86" s="29" t="s">
        <v>3419</v>
      </c>
      <c r="W86" s="29" t="s">
        <v>1437</v>
      </c>
      <c r="X86" s="29">
        <v>2627</v>
      </c>
      <c r="Y86" s="60">
        <v>93343.56</v>
      </c>
      <c r="Z86" s="60">
        <v>96082.33</v>
      </c>
      <c r="AA86" s="2" t="s">
        <v>4104</v>
      </c>
      <c r="AB86" s="67" t="s">
        <v>3812</v>
      </c>
      <c r="AC86" s="2" t="s">
        <v>2411</v>
      </c>
      <c r="AD86" s="69">
        <v>404</v>
      </c>
      <c r="AE86" s="69">
        <v>440</v>
      </c>
      <c r="AF86" s="69">
        <f>(3.2+2.9+2.2+1.8+2.9)/5</f>
        <v>2.6000000000000005</v>
      </c>
      <c r="AG86" s="69">
        <v>24</v>
      </c>
      <c r="AH86" s="102">
        <f>AF86*AD86*AG86*0.0036</f>
        <v>90.75456000000001</v>
      </c>
      <c r="AI86" s="102">
        <f>AF86*AE86*AG86*0.0036</f>
        <v>98.84160000000003</v>
      </c>
      <c r="AJ86" s="2">
        <v>30</v>
      </c>
      <c r="AK86" s="1">
        <v>12</v>
      </c>
      <c r="AL86" s="1">
        <v>0.51</v>
      </c>
      <c r="AM86" s="1">
        <v>0.58</v>
      </c>
      <c r="AN86" s="117">
        <f>AH86*AJ86*AK86*AL86</f>
        <v>16662.537216</v>
      </c>
      <c r="AO86" s="118">
        <f>AI86*AJ86*AK86*AM86</f>
        <v>20638.126080000005</v>
      </c>
      <c r="AP86" s="13" t="s">
        <v>2413</v>
      </c>
    </row>
    <row r="87" spans="1:42" ht="52.5" customHeight="1">
      <c r="A87" s="2">
        <v>69</v>
      </c>
      <c r="B87" s="2">
        <v>69</v>
      </c>
      <c r="C87" s="1" t="s">
        <v>75</v>
      </c>
      <c r="D87" s="1" t="s">
        <v>6</v>
      </c>
      <c r="E87" s="1">
        <v>3</v>
      </c>
      <c r="F87" s="1" t="s">
        <v>1438</v>
      </c>
      <c r="G87" s="2" t="s">
        <v>1439</v>
      </c>
      <c r="H87" s="2" t="s">
        <v>2508</v>
      </c>
      <c r="I87" s="1" t="s">
        <v>4166</v>
      </c>
      <c r="J87" s="1" t="s">
        <v>4127</v>
      </c>
      <c r="K87" s="63">
        <v>29104391</v>
      </c>
      <c r="L87" s="1" t="s">
        <v>2438</v>
      </c>
      <c r="M87" s="1">
        <v>3447000</v>
      </c>
      <c r="N87" s="1" t="s">
        <v>3735</v>
      </c>
      <c r="O87" s="1" t="s">
        <v>4181</v>
      </c>
      <c r="P87" s="1">
        <v>3428</v>
      </c>
      <c r="Q87" s="64">
        <v>43073</v>
      </c>
      <c r="R87" s="64">
        <v>46724</v>
      </c>
      <c r="S87" s="62" t="s">
        <v>2440</v>
      </c>
      <c r="T87" s="29" t="s">
        <v>2441</v>
      </c>
      <c r="U87" s="9" t="s">
        <v>2444</v>
      </c>
      <c r="V87" s="29" t="s">
        <v>3420</v>
      </c>
      <c r="W87" s="29" t="s">
        <v>1440</v>
      </c>
      <c r="X87" s="29">
        <v>2625</v>
      </c>
      <c r="Y87" s="60">
        <v>93344.17</v>
      </c>
      <c r="Z87" s="60">
        <v>96064.75</v>
      </c>
      <c r="AA87" s="2" t="s">
        <v>3813</v>
      </c>
      <c r="AB87" s="67">
        <v>43712</v>
      </c>
      <c r="AC87" s="50">
        <v>0.4916666666666667</v>
      </c>
      <c r="AD87" s="93"/>
      <c r="AE87" s="93"/>
      <c r="AF87" s="93"/>
      <c r="AG87" s="93"/>
      <c r="AH87" s="93"/>
      <c r="AI87" s="93"/>
      <c r="AJ87" s="93"/>
      <c r="AK87" s="93"/>
      <c r="AL87" s="93"/>
      <c r="AM87" s="93"/>
      <c r="AN87" s="117">
        <f t="shared" si="2"/>
        <v>0</v>
      </c>
      <c r="AO87" s="118">
        <f t="shared" si="3"/>
        <v>0</v>
      </c>
      <c r="AP87" s="13" t="s">
        <v>2413</v>
      </c>
    </row>
    <row r="88" spans="1:42" ht="46.5" customHeight="1">
      <c r="A88" s="2">
        <v>70</v>
      </c>
      <c r="B88" s="2">
        <v>70</v>
      </c>
      <c r="C88" s="1" t="s">
        <v>75</v>
      </c>
      <c r="D88" s="1" t="s">
        <v>6</v>
      </c>
      <c r="E88" s="1">
        <v>3</v>
      </c>
      <c r="F88" s="1" t="s">
        <v>1441</v>
      </c>
      <c r="G88" s="2" t="s">
        <v>1442</v>
      </c>
      <c r="H88" s="2" t="s">
        <v>2508</v>
      </c>
      <c r="I88" s="1" t="s">
        <v>4166</v>
      </c>
      <c r="J88" s="1" t="s">
        <v>4127</v>
      </c>
      <c r="K88" s="63">
        <v>29104391</v>
      </c>
      <c r="L88" s="1" t="s">
        <v>2438</v>
      </c>
      <c r="M88" s="1">
        <v>3447000</v>
      </c>
      <c r="N88" s="1" t="s">
        <v>3735</v>
      </c>
      <c r="O88" s="1" t="s">
        <v>4181</v>
      </c>
      <c r="P88" s="1">
        <v>3428</v>
      </c>
      <c r="Q88" s="64">
        <v>43073</v>
      </c>
      <c r="R88" s="64">
        <v>46724</v>
      </c>
      <c r="S88" s="62" t="s">
        <v>2440</v>
      </c>
      <c r="T88" s="29" t="s">
        <v>2441</v>
      </c>
      <c r="U88" s="9" t="s">
        <v>2444</v>
      </c>
      <c r="V88" s="29" t="s">
        <v>3421</v>
      </c>
      <c r="W88" s="29" t="s">
        <v>1443</v>
      </c>
      <c r="X88" s="29">
        <v>2623</v>
      </c>
      <c r="Y88" s="60">
        <v>93352.16</v>
      </c>
      <c r="Z88" s="60">
        <v>96044.71</v>
      </c>
      <c r="AA88" s="2" t="s">
        <v>3814</v>
      </c>
      <c r="AB88" s="67">
        <v>43325</v>
      </c>
      <c r="AC88" s="50">
        <v>0.4305555555555556</v>
      </c>
      <c r="AD88" s="93"/>
      <c r="AE88" s="93"/>
      <c r="AF88" s="93"/>
      <c r="AG88" s="93"/>
      <c r="AH88" s="93"/>
      <c r="AI88" s="93"/>
      <c r="AJ88" s="93"/>
      <c r="AK88" s="93"/>
      <c r="AL88" s="93"/>
      <c r="AM88" s="93"/>
      <c r="AN88" s="117">
        <f t="shared" si="2"/>
        <v>0</v>
      </c>
      <c r="AO88" s="118">
        <f t="shared" si="3"/>
        <v>0</v>
      </c>
      <c r="AP88" s="13" t="s">
        <v>2413</v>
      </c>
    </row>
    <row r="89" spans="1:42" ht="48.75" customHeight="1">
      <c r="A89" s="2">
        <v>71</v>
      </c>
      <c r="B89" s="2">
        <v>71</v>
      </c>
      <c r="C89" s="1" t="s">
        <v>75</v>
      </c>
      <c r="D89" s="1" t="s">
        <v>6</v>
      </c>
      <c r="E89" s="1">
        <v>3</v>
      </c>
      <c r="F89" s="1" t="s">
        <v>1444</v>
      </c>
      <c r="G89" s="2" t="s">
        <v>1442</v>
      </c>
      <c r="H89" s="2" t="s">
        <v>2508</v>
      </c>
      <c r="I89" s="1" t="s">
        <v>4166</v>
      </c>
      <c r="J89" s="1" t="s">
        <v>4127</v>
      </c>
      <c r="K89" s="63">
        <v>29104391</v>
      </c>
      <c r="L89" s="1" t="s">
        <v>2438</v>
      </c>
      <c r="M89" s="1">
        <v>3447000</v>
      </c>
      <c r="N89" s="1" t="s">
        <v>3735</v>
      </c>
      <c r="O89" s="1" t="s">
        <v>4181</v>
      </c>
      <c r="P89" s="1">
        <v>3428</v>
      </c>
      <c r="Q89" s="64">
        <v>43073</v>
      </c>
      <c r="R89" s="64">
        <v>46724</v>
      </c>
      <c r="S89" s="62" t="s">
        <v>2440</v>
      </c>
      <c r="T89" s="29" t="s">
        <v>2441</v>
      </c>
      <c r="U89" s="9" t="s">
        <v>2444</v>
      </c>
      <c r="V89" s="29" t="s">
        <v>3422</v>
      </c>
      <c r="W89" s="29" t="s">
        <v>1445</v>
      </c>
      <c r="X89" s="29">
        <v>2622</v>
      </c>
      <c r="Y89" s="60">
        <v>93350.01</v>
      </c>
      <c r="Z89" s="60">
        <v>96037.62</v>
      </c>
      <c r="AA89" s="2" t="s">
        <v>3813</v>
      </c>
      <c r="AB89" s="67">
        <v>43712</v>
      </c>
      <c r="AC89" s="50">
        <v>0.5340277777777778</v>
      </c>
      <c r="AD89" s="93"/>
      <c r="AE89" s="93"/>
      <c r="AF89" s="93"/>
      <c r="AG89" s="93"/>
      <c r="AH89" s="93"/>
      <c r="AI89" s="93"/>
      <c r="AJ89" s="93"/>
      <c r="AK89" s="93"/>
      <c r="AL89" s="93"/>
      <c r="AM89" s="93"/>
      <c r="AN89" s="117">
        <f t="shared" si="2"/>
        <v>0</v>
      </c>
      <c r="AO89" s="118">
        <f t="shared" si="3"/>
        <v>0</v>
      </c>
      <c r="AP89" s="13" t="s">
        <v>2413</v>
      </c>
    </row>
    <row r="90" spans="1:42" ht="41.25" customHeight="1">
      <c r="A90" s="2">
        <v>72</v>
      </c>
      <c r="B90" s="2">
        <v>72</v>
      </c>
      <c r="C90" s="1" t="s">
        <v>75</v>
      </c>
      <c r="D90" s="1" t="s">
        <v>6</v>
      </c>
      <c r="E90" s="1">
        <v>3</v>
      </c>
      <c r="F90" s="1" t="s">
        <v>1446</v>
      </c>
      <c r="G90" s="2" t="s">
        <v>1447</v>
      </c>
      <c r="H90" s="2" t="s">
        <v>2508</v>
      </c>
      <c r="I90" s="1" t="s">
        <v>4166</v>
      </c>
      <c r="J90" s="1" t="s">
        <v>4127</v>
      </c>
      <c r="K90" s="63">
        <v>29104391</v>
      </c>
      <c r="L90" s="1" t="s">
        <v>2438</v>
      </c>
      <c r="M90" s="1">
        <v>3447000</v>
      </c>
      <c r="N90" s="1" t="s">
        <v>3735</v>
      </c>
      <c r="O90" s="1" t="s">
        <v>4181</v>
      </c>
      <c r="P90" s="1">
        <v>3428</v>
      </c>
      <c r="Q90" s="64">
        <v>43073</v>
      </c>
      <c r="R90" s="64">
        <v>46724</v>
      </c>
      <c r="S90" s="62" t="s">
        <v>2440</v>
      </c>
      <c r="T90" s="29" t="s">
        <v>2441</v>
      </c>
      <c r="U90" s="9" t="s">
        <v>2444</v>
      </c>
      <c r="V90" s="29" t="s">
        <v>3423</v>
      </c>
      <c r="W90" s="29" t="s">
        <v>1448</v>
      </c>
      <c r="X90" s="29">
        <v>2615</v>
      </c>
      <c r="Y90" s="60">
        <v>93377.35</v>
      </c>
      <c r="Z90" s="60">
        <v>95935.85</v>
      </c>
      <c r="AA90" s="2" t="s">
        <v>3814</v>
      </c>
      <c r="AB90" s="67">
        <v>43326</v>
      </c>
      <c r="AC90" s="50">
        <v>0.5833333333333334</v>
      </c>
      <c r="AD90" s="93"/>
      <c r="AE90" s="93"/>
      <c r="AF90" s="93"/>
      <c r="AG90" s="93"/>
      <c r="AH90" s="93"/>
      <c r="AI90" s="93"/>
      <c r="AJ90" s="93"/>
      <c r="AK90" s="93"/>
      <c r="AL90" s="93"/>
      <c r="AM90" s="93"/>
      <c r="AN90" s="44">
        <f t="shared" si="2"/>
        <v>0</v>
      </c>
      <c r="AO90" s="45">
        <f t="shared" si="3"/>
        <v>0</v>
      </c>
      <c r="AP90" s="13" t="s">
        <v>2413</v>
      </c>
    </row>
    <row r="91" spans="1:42" ht="25.5">
      <c r="A91" s="2">
        <v>73</v>
      </c>
      <c r="B91" s="2">
        <v>73</v>
      </c>
      <c r="C91" s="2" t="s">
        <v>75</v>
      </c>
      <c r="D91" s="2" t="s">
        <v>6</v>
      </c>
      <c r="E91" s="2">
        <v>3</v>
      </c>
      <c r="F91" s="13" t="s">
        <v>1449</v>
      </c>
      <c r="G91" s="13" t="s">
        <v>1450</v>
      </c>
      <c r="H91" s="2" t="s">
        <v>2508</v>
      </c>
      <c r="I91" s="1" t="s">
        <v>4166</v>
      </c>
      <c r="J91" s="1" t="s">
        <v>4127</v>
      </c>
      <c r="K91" s="63">
        <v>29104391</v>
      </c>
      <c r="L91" s="1" t="s">
        <v>2438</v>
      </c>
      <c r="M91" s="1">
        <v>3447000</v>
      </c>
      <c r="N91" s="1" t="s">
        <v>3735</v>
      </c>
      <c r="O91" s="1" t="s">
        <v>4181</v>
      </c>
      <c r="P91" s="1">
        <v>3428</v>
      </c>
      <c r="Q91" s="64">
        <v>43073</v>
      </c>
      <c r="R91" s="64">
        <v>46724</v>
      </c>
      <c r="S91" s="62" t="s">
        <v>2440</v>
      </c>
      <c r="T91" s="29" t="s">
        <v>2441</v>
      </c>
      <c r="U91" s="9" t="s">
        <v>2444</v>
      </c>
      <c r="V91" s="13" t="s">
        <v>3424</v>
      </c>
      <c r="W91" s="13" t="s">
        <v>1451</v>
      </c>
      <c r="X91" s="29">
        <v>2616</v>
      </c>
      <c r="Y91" s="60">
        <v>93362.6</v>
      </c>
      <c r="Z91" s="60">
        <v>95934.92</v>
      </c>
      <c r="AA91" s="2" t="s">
        <v>3741</v>
      </c>
      <c r="AB91" s="66"/>
      <c r="AC91" s="66"/>
      <c r="AD91" s="66"/>
      <c r="AE91" s="66"/>
      <c r="AF91" s="66"/>
      <c r="AG91" s="66"/>
      <c r="AH91" s="43"/>
      <c r="AI91" s="43"/>
      <c r="AJ91" s="2"/>
      <c r="AK91" s="1"/>
      <c r="AL91" s="1"/>
      <c r="AM91" s="1"/>
      <c r="AN91" s="44">
        <f t="shared" si="2"/>
        <v>0</v>
      </c>
      <c r="AO91" s="45">
        <f t="shared" si="3"/>
        <v>0</v>
      </c>
      <c r="AP91" s="2" t="s">
        <v>2413</v>
      </c>
    </row>
    <row r="92" spans="1:42" ht="81.75" customHeight="1">
      <c r="A92" s="2">
        <v>74</v>
      </c>
      <c r="B92" s="2">
        <v>74</v>
      </c>
      <c r="C92" s="1" t="s">
        <v>75</v>
      </c>
      <c r="D92" s="1" t="s">
        <v>6</v>
      </c>
      <c r="E92" s="1">
        <v>3</v>
      </c>
      <c r="F92" s="1" t="s">
        <v>1452</v>
      </c>
      <c r="G92" s="2" t="s">
        <v>1453</v>
      </c>
      <c r="H92" s="2" t="s">
        <v>2508</v>
      </c>
      <c r="I92" s="1" t="s">
        <v>4166</v>
      </c>
      <c r="J92" s="1" t="s">
        <v>4127</v>
      </c>
      <c r="K92" s="63">
        <v>29104391</v>
      </c>
      <c r="L92" s="1" t="s">
        <v>2438</v>
      </c>
      <c r="M92" s="1">
        <v>3447000</v>
      </c>
      <c r="N92" s="1" t="s">
        <v>3735</v>
      </c>
      <c r="O92" s="1" t="s">
        <v>4181</v>
      </c>
      <c r="P92" s="1">
        <v>3428</v>
      </c>
      <c r="Q92" s="64">
        <v>43073</v>
      </c>
      <c r="R92" s="64">
        <v>46724</v>
      </c>
      <c r="S92" s="62" t="s">
        <v>2440</v>
      </c>
      <c r="T92" s="29" t="s">
        <v>2441</v>
      </c>
      <c r="U92" s="9" t="s">
        <v>2444</v>
      </c>
      <c r="V92" s="29" t="s">
        <v>3425</v>
      </c>
      <c r="W92" s="29" t="s">
        <v>1454</v>
      </c>
      <c r="X92" s="29">
        <v>2603</v>
      </c>
      <c r="Y92" s="60">
        <v>93365.66</v>
      </c>
      <c r="Z92" s="60">
        <v>95664.78</v>
      </c>
      <c r="AA92" s="2" t="s">
        <v>4105</v>
      </c>
      <c r="AB92" s="67" t="s">
        <v>3812</v>
      </c>
      <c r="AC92" s="2" t="s">
        <v>3791</v>
      </c>
      <c r="AD92" s="69">
        <v>238</v>
      </c>
      <c r="AE92" s="69">
        <v>253</v>
      </c>
      <c r="AF92" s="69">
        <v>3.98</v>
      </c>
      <c r="AG92" s="69">
        <v>24</v>
      </c>
      <c r="AH92" s="43">
        <f>AF92*AD92*AG92*0.0036</f>
        <v>81.841536</v>
      </c>
      <c r="AI92" s="43">
        <f>AF92*AE92*AG92*0.0036</f>
        <v>86.99961599999999</v>
      </c>
      <c r="AJ92" s="2">
        <v>30</v>
      </c>
      <c r="AK92" s="1">
        <v>12</v>
      </c>
      <c r="AL92" s="1">
        <v>0.73</v>
      </c>
      <c r="AM92" s="1">
        <v>0.73</v>
      </c>
      <c r="AN92" s="117">
        <f t="shared" si="2"/>
        <v>21507.955660800002</v>
      </c>
      <c r="AO92" s="118">
        <f>AI92*AJ92*AK92*AM92</f>
        <v>22863.499084799994</v>
      </c>
      <c r="AP92" s="13" t="s">
        <v>2413</v>
      </c>
    </row>
    <row r="93" spans="1:42" ht="51.75" customHeight="1">
      <c r="A93" s="2"/>
      <c r="B93" s="2">
        <v>75</v>
      </c>
      <c r="C93" s="1" t="s">
        <v>75</v>
      </c>
      <c r="D93" s="1" t="s">
        <v>6</v>
      </c>
      <c r="E93" s="1">
        <v>3</v>
      </c>
      <c r="F93" s="1" t="s">
        <v>2566</v>
      </c>
      <c r="G93" s="2" t="s">
        <v>2567</v>
      </c>
      <c r="H93" s="2" t="s">
        <v>2508</v>
      </c>
      <c r="I93" s="1" t="s">
        <v>4166</v>
      </c>
      <c r="J93" s="1" t="s">
        <v>4127</v>
      </c>
      <c r="K93" s="63">
        <v>29104391</v>
      </c>
      <c r="L93" s="1" t="s">
        <v>2438</v>
      </c>
      <c r="M93" s="1">
        <v>3447000</v>
      </c>
      <c r="N93" s="1" t="s">
        <v>3735</v>
      </c>
      <c r="O93" s="1" t="s">
        <v>4181</v>
      </c>
      <c r="P93" s="1">
        <v>3428</v>
      </c>
      <c r="Q93" s="64">
        <v>43073</v>
      </c>
      <c r="R93" s="64">
        <v>46724</v>
      </c>
      <c r="S93" s="62" t="s">
        <v>2440</v>
      </c>
      <c r="T93" s="29" t="s">
        <v>2441</v>
      </c>
      <c r="U93" s="9" t="s">
        <v>2443</v>
      </c>
      <c r="V93" s="29" t="s">
        <v>2568</v>
      </c>
      <c r="W93" s="29" t="s">
        <v>2569</v>
      </c>
      <c r="X93" s="29">
        <v>2600</v>
      </c>
      <c r="Y93" s="60">
        <v>93445.25</v>
      </c>
      <c r="Z93" s="60">
        <v>95650.9</v>
      </c>
      <c r="AA93" s="2" t="s">
        <v>4106</v>
      </c>
      <c r="AB93" s="83">
        <v>43754</v>
      </c>
      <c r="AC93" s="13" t="s">
        <v>3815</v>
      </c>
      <c r="AD93" s="2">
        <v>424</v>
      </c>
      <c r="AE93" s="2">
        <v>340</v>
      </c>
      <c r="AF93" s="2">
        <v>11.82</v>
      </c>
      <c r="AG93" s="2">
        <v>24</v>
      </c>
      <c r="AH93" s="43">
        <f>AF93*AD93*AG93*0.0036</f>
        <v>433.00915200000003</v>
      </c>
      <c r="AI93" s="43">
        <f>AF93*AE93*AG93*0.0036</f>
        <v>347.22432000000003</v>
      </c>
      <c r="AJ93" s="2">
        <v>30</v>
      </c>
      <c r="AK93" s="1">
        <v>12</v>
      </c>
      <c r="AL93" s="1">
        <v>0.64</v>
      </c>
      <c r="AM93" s="1">
        <v>0.67</v>
      </c>
      <c r="AN93" s="44">
        <f>AH93*AJ93*AK93*AL93</f>
        <v>99765.3086208</v>
      </c>
      <c r="AO93" s="45">
        <f>AI93*AJ93*AK93*AM93</f>
        <v>83750.50598400002</v>
      </c>
      <c r="AP93" s="13" t="s">
        <v>2413</v>
      </c>
    </row>
    <row r="94" spans="1:42" ht="25.5">
      <c r="A94" s="2">
        <v>75</v>
      </c>
      <c r="B94" s="2">
        <v>76</v>
      </c>
      <c r="C94" s="2" t="s">
        <v>75</v>
      </c>
      <c r="D94" s="2" t="s">
        <v>6</v>
      </c>
      <c r="E94" s="2">
        <v>3</v>
      </c>
      <c r="F94" s="13" t="s">
        <v>1455</v>
      </c>
      <c r="G94" s="13" t="s">
        <v>1456</v>
      </c>
      <c r="H94" s="2" t="s">
        <v>2508</v>
      </c>
      <c r="I94" s="1" t="s">
        <v>4166</v>
      </c>
      <c r="J94" s="1" t="s">
        <v>4127</v>
      </c>
      <c r="K94" s="63">
        <v>29104391</v>
      </c>
      <c r="L94" s="1" t="s">
        <v>2438</v>
      </c>
      <c r="M94" s="1">
        <v>3447000</v>
      </c>
      <c r="N94" s="1" t="s">
        <v>3735</v>
      </c>
      <c r="O94" s="1" t="s">
        <v>4181</v>
      </c>
      <c r="P94" s="1">
        <v>3428</v>
      </c>
      <c r="Q94" s="64">
        <v>43073</v>
      </c>
      <c r="R94" s="64">
        <v>46724</v>
      </c>
      <c r="S94" s="62" t="s">
        <v>2440</v>
      </c>
      <c r="T94" s="29" t="s">
        <v>2441</v>
      </c>
      <c r="U94" s="9" t="s">
        <v>2443</v>
      </c>
      <c r="V94" s="13" t="s">
        <v>3426</v>
      </c>
      <c r="W94" s="13" t="s">
        <v>3427</v>
      </c>
      <c r="X94" s="13">
        <v>2586</v>
      </c>
      <c r="Y94" s="60">
        <v>93303.88</v>
      </c>
      <c r="Z94" s="60">
        <v>95347.77</v>
      </c>
      <c r="AA94" s="2" t="s">
        <v>3741</v>
      </c>
      <c r="AB94" s="66"/>
      <c r="AC94" s="66"/>
      <c r="AD94" s="66"/>
      <c r="AE94" s="66"/>
      <c r="AF94" s="66"/>
      <c r="AG94" s="66"/>
      <c r="AH94" s="43"/>
      <c r="AI94" s="43"/>
      <c r="AJ94" s="2"/>
      <c r="AK94" s="1"/>
      <c r="AL94" s="1"/>
      <c r="AM94" s="1"/>
      <c r="AN94" s="44">
        <f t="shared" si="2"/>
        <v>0</v>
      </c>
      <c r="AO94" s="45">
        <f t="shared" si="3"/>
        <v>0</v>
      </c>
      <c r="AP94" s="2" t="s">
        <v>2413</v>
      </c>
    </row>
    <row r="95" spans="1:42" ht="25.5">
      <c r="A95" s="2">
        <v>76</v>
      </c>
      <c r="B95" s="2">
        <v>77</v>
      </c>
      <c r="C95" s="2" t="s">
        <v>75</v>
      </c>
      <c r="D95" s="2" t="s">
        <v>6</v>
      </c>
      <c r="E95" s="2">
        <v>3</v>
      </c>
      <c r="F95" s="13" t="s">
        <v>1457</v>
      </c>
      <c r="G95" s="13" t="s">
        <v>1456</v>
      </c>
      <c r="H95" s="2" t="s">
        <v>2508</v>
      </c>
      <c r="I95" s="1" t="s">
        <v>4166</v>
      </c>
      <c r="J95" s="1" t="s">
        <v>4127</v>
      </c>
      <c r="K95" s="63">
        <v>29104391</v>
      </c>
      <c r="L95" s="1" t="s">
        <v>2438</v>
      </c>
      <c r="M95" s="1">
        <v>3447000</v>
      </c>
      <c r="N95" s="1" t="s">
        <v>3735</v>
      </c>
      <c r="O95" s="1" t="s">
        <v>4181</v>
      </c>
      <c r="P95" s="1">
        <v>3428</v>
      </c>
      <c r="Q95" s="64">
        <v>43073</v>
      </c>
      <c r="R95" s="64">
        <v>46724</v>
      </c>
      <c r="S95" s="62" t="s">
        <v>2440</v>
      </c>
      <c r="T95" s="1" t="s">
        <v>2442</v>
      </c>
      <c r="U95" s="9" t="s">
        <v>2443</v>
      </c>
      <c r="V95" s="13" t="s">
        <v>3428</v>
      </c>
      <c r="W95" s="13" t="s">
        <v>3429</v>
      </c>
      <c r="X95" s="13">
        <v>2587</v>
      </c>
      <c r="Y95" s="60">
        <v>93284.52</v>
      </c>
      <c r="Z95" s="60">
        <v>95345.92</v>
      </c>
      <c r="AA95" s="2" t="s">
        <v>3741</v>
      </c>
      <c r="AB95" s="66"/>
      <c r="AC95" s="66"/>
      <c r="AD95" s="66"/>
      <c r="AE95" s="66"/>
      <c r="AF95" s="66"/>
      <c r="AG95" s="66"/>
      <c r="AH95" s="43"/>
      <c r="AI95" s="43"/>
      <c r="AJ95" s="2"/>
      <c r="AK95" s="1"/>
      <c r="AL95" s="1"/>
      <c r="AM95" s="1"/>
      <c r="AN95" s="44">
        <f t="shared" si="2"/>
        <v>0</v>
      </c>
      <c r="AO95" s="45">
        <f t="shared" si="3"/>
        <v>0</v>
      </c>
      <c r="AP95" s="2" t="s">
        <v>2413</v>
      </c>
    </row>
    <row r="96" spans="1:42" ht="12.75">
      <c r="A96" s="2"/>
      <c r="B96" s="226" t="s">
        <v>2547</v>
      </c>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119">
        <f>AN77+AN78+AN81+AN83+AN84+AN85+AN86+AN87+AN88+AN89+AN92</f>
        <v>39401.987328</v>
      </c>
      <c r="AO96" s="119">
        <f>AO77+AO78+AO81+AO83+AO84+AO85+AO86+AO87+AO88+AO89+AO92</f>
        <v>44459.964288</v>
      </c>
      <c r="AP96" s="66"/>
    </row>
    <row r="97" spans="1:42" ht="12.75">
      <c r="A97" s="2"/>
      <c r="B97" s="227" t="s">
        <v>2548</v>
      </c>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73">
        <f>SUM(AN75:AN95)</f>
        <v>139167.2959488</v>
      </c>
      <c r="AO97" s="73">
        <f>SUM(AO75:AO95)</f>
        <v>128210.47027200002</v>
      </c>
      <c r="AP97" s="66"/>
    </row>
    <row r="98" spans="1:42" ht="38.25">
      <c r="A98" s="2">
        <v>77</v>
      </c>
      <c r="B98" s="2">
        <v>78</v>
      </c>
      <c r="C98" s="2" t="s">
        <v>76</v>
      </c>
      <c r="D98" s="2" t="s">
        <v>6</v>
      </c>
      <c r="E98" s="2">
        <v>3</v>
      </c>
      <c r="F98" s="13" t="s">
        <v>1458</v>
      </c>
      <c r="G98" s="2" t="s">
        <v>1459</v>
      </c>
      <c r="H98" s="2" t="s">
        <v>2508</v>
      </c>
      <c r="I98" s="1" t="s">
        <v>4166</v>
      </c>
      <c r="J98" s="1" t="s">
        <v>4127</v>
      </c>
      <c r="K98" s="63">
        <v>29104391</v>
      </c>
      <c r="L98" s="1" t="s">
        <v>2438</v>
      </c>
      <c r="M98" s="1">
        <v>3447000</v>
      </c>
      <c r="N98" s="1" t="s">
        <v>3735</v>
      </c>
      <c r="O98" s="1" t="s">
        <v>4181</v>
      </c>
      <c r="P98" s="1">
        <v>3428</v>
      </c>
      <c r="Q98" s="64">
        <v>43073</v>
      </c>
      <c r="R98" s="64">
        <v>46724</v>
      </c>
      <c r="S98" s="62" t="s">
        <v>2440</v>
      </c>
      <c r="T98" s="30" t="s">
        <v>2436</v>
      </c>
      <c r="U98" s="9" t="s">
        <v>2480</v>
      </c>
      <c r="V98" s="13" t="s">
        <v>3430</v>
      </c>
      <c r="W98" s="13" t="s">
        <v>3432</v>
      </c>
      <c r="X98" s="2">
        <v>3076</v>
      </c>
      <c r="Y98" s="60">
        <v>91017.211</v>
      </c>
      <c r="Z98" s="60">
        <v>98802.143</v>
      </c>
      <c r="AA98" s="2" t="s">
        <v>3741</v>
      </c>
      <c r="AB98" s="66"/>
      <c r="AC98" s="66"/>
      <c r="AD98" s="66"/>
      <c r="AE98" s="66"/>
      <c r="AF98" s="66"/>
      <c r="AG98" s="66"/>
      <c r="AH98" s="43"/>
      <c r="AI98" s="43"/>
      <c r="AJ98" s="2"/>
      <c r="AK98" s="1"/>
      <c r="AL98" s="1"/>
      <c r="AM98" s="1"/>
      <c r="AN98" s="44">
        <f t="shared" si="2"/>
        <v>0</v>
      </c>
      <c r="AO98" s="45">
        <f t="shared" si="3"/>
        <v>0</v>
      </c>
      <c r="AP98" s="66"/>
    </row>
    <row r="99" spans="1:42" ht="25.5">
      <c r="A99" s="2">
        <v>78</v>
      </c>
      <c r="B99" s="2">
        <v>79</v>
      </c>
      <c r="C99" s="2" t="s">
        <v>76</v>
      </c>
      <c r="D99" s="2" t="s">
        <v>6</v>
      </c>
      <c r="E99" s="2">
        <v>3</v>
      </c>
      <c r="F99" s="2" t="s">
        <v>1460</v>
      </c>
      <c r="G99" s="2" t="s">
        <v>1461</v>
      </c>
      <c r="H99" s="2" t="s">
        <v>2508</v>
      </c>
      <c r="I99" s="1" t="s">
        <v>4166</v>
      </c>
      <c r="J99" s="1" t="s">
        <v>4127</v>
      </c>
      <c r="K99" s="63">
        <v>29104391</v>
      </c>
      <c r="L99" s="1" t="s">
        <v>2438</v>
      </c>
      <c r="M99" s="1">
        <v>3447000</v>
      </c>
      <c r="N99" s="1" t="s">
        <v>3735</v>
      </c>
      <c r="O99" s="1" t="s">
        <v>4181</v>
      </c>
      <c r="P99" s="1">
        <v>3428</v>
      </c>
      <c r="Q99" s="64">
        <v>43073</v>
      </c>
      <c r="R99" s="64">
        <v>46724</v>
      </c>
      <c r="S99" s="62" t="s">
        <v>2440</v>
      </c>
      <c r="T99" s="29" t="s">
        <v>2441</v>
      </c>
      <c r="U99" s="9" t="s">
        <v>2447</v>
      </c>
      <c r="V99" s="2" t="s">
        <v>3431</v>
      </c>
      <c r="W99" s="2" t="s">
        <v>3433</v>
      </c>
      <c r="X99" s="2">
        <v>3072</v>
      </c>
      <c r="Y99" s="60">
        <v>90999.38</v>
      </c>
      <c r="Z99" s="60">
        <v>98771.61</v>
      </c>
      <c r="AA99" s="2" t="s">
        <v>3741</v>
      </c>
      <c r="AB99" s="66"/>
      <c r="AC99" s="66"/>
      <c r="AD99" s="93"/>
      <c r="AE99" s="93"/>
      <c r="AF99" s="93"/>
      <c r="AG99" s="93"/>
      <c r="AH99" s="93"/>
      <c r="AI99" s="93"/>
      <c r="AJ99" s="93"/>
      <c r="AK99" s="93"/>
      <c r="AL99" s="93"/>
      <c r="AM99" s="93"/>
      <c r="AN99" s="117">
        <f t="shared" si="2"/>
        <v>0</v>
      </c>
      <c r="AO99" s="118">
        <f t="shared" si="3"/>
        <v>0</v>
      </c>
      <c r="AP99" s="13" t="s">
        <v>2413</v>
      </c>
    </row>
    <row r="100" spans="1:42" ht="25.5">
      <c r="A100" s="2">
        <v>79</v>
      </c>
      <c r="B100" s="2">
        <v>80</v>
      </c>
      <c r="C100" s="2" t="s">
        <v>76</v>
      </c>
      <c r="D100" s="2" t="s">
        <v>6</v>
      </c>
      <c r="E100" s="2">
        <v>3</v>
      </c>
      <c r="F100" s="13" t="s">
        <v>1462</v>
      </c>
      <c r="G100" s="13" t="s">
        <v>1461</v>
      </c>
      <c r="H100" s="2" t="s">
        <v>2508</v>
      </c>
      <c r="I100" s="1" t="s">
        <v>4166</v>
      </c>
      <c r="J100" s="1" t="s">
        <v>4127</v>
      </c>
      <c r="K100" s="63">
        <v>29104391</v>
      </c>
      <c r="L100" s="1" t="s">
        <v>2438</v>
      </c>
      <c r="M100" s="1">
        <v>3447000</v>
      </c>
      <c r="N100" s="1" t="s">
        <v>3735</v>
      </c>
      <c r="O100" s="1" t="s">
        <v>4181</v>
      </c>
      <c r="P100" s="1">
        <v>3428</v>
      </c>
      <c r="Q100" s="64">
        <v>43073</v>
      </c>
      <c r="R100" s="64">
        <v>46724</v>
      </c>
      <c r="S100" s="62" t="s">
        <v>2440</v>
      </c>
      <c r="T100" s="1" t="s">
        <v>2442</v>
      </c>
      <c r="U100" s="9" t="s">
        <v>2444</v>
      </c>
      <c r="V100" s="13" t="s">
        <v>3431</v>
      </c>
      <c r="W100" s="13" t="s">
        <v>3433</v>
      </c>
      <c r="X100" s="2">
        <v>3072</v>
      </c>
      <c r="Y100" s="60">
        <v>90999.38</v>
      </c>
      <c r="Z100" s="60">
        <v>98771.61</v>
      </c>
      <c r="AA100" s="2" t="s">
        <v>3741</v>
      </c>
      <c r="AB100" s="66"/>
      <c r="AC100" s="66"/>
      <c r="AD100" s="66"/>
      <c r="AE100" s="66"/>
      <c r="AF100" s="66"/>
      <c r="AG100" s="66"/>
      <c r="AH100" s="43"/>
      <c r="AI100" s="43"/>
      <c r="AJ100" s="2"/>
      <c r="AK100" s="1"/>
      <c r="AL100" s="1"/>
      <c r="AM100" s="1"/>
      <c r="AN100" s="44">
        <f t="shared" si="2"/>
        <v>0</v>
      </c>
      <c r="AO100" s="45">
        <f t="shared" si="3"/>
        <v>0</v>
      </c>
      <c r="AP100" s="13" t="s">
        <v>2413</v>
      </c>
    </row>
    <row r="101" spans="1:42" ht="25.5">
      <c r="A101" s="2">
        <v>80</v>
      </c>
      <c r="B101" s="2">
        <v>81</v>
      </c>
      <c r="C101" s="2" t="s">
        <v>76</v>
      </c>
      <c r="D101" s="2" t="s">
        <v>6</v>
      </c>
      <c r="E101" s="2">
        <v>3</v>
      </c>
      <c r="F101" s="13" t="s">
        <v>1463</v>
      </c>
      <c r="G101" s="13" t="s">
        <v>1464</v>
      </c>
      <c r="H101" s="2" t="s">
        <v>2508</v>
      </c>
      <c r="I101" s="1" t="s">
        <v>4166</v>
      </c>
      <c r="J101" s="1" t="s">
        <v>4127</v>
      </c>
      <c r="K101" s="63">
        <v>29104391</v>
      </c>
      <c r="L101" s="1" t="s">
        <v>2438</v>
      </c>
      <c r="M101" s="1">
        <v>3447000</v>
      </c>
      <c r="N101" s="1" t="s">
        <v>3735</v>
      </c>
      <c r="O101" s="1" t="s">
        <v>4181</v>
      </c>
      <c r="P101" s="1">
        <v>3428</v>
      </c>
      <c r="Q101" s="64">
        <v>43073</v>
      </c>
      <c r="R101" s="64">
        <v>46724</v>
      </c>
      <c r="S101" s="62" t="s">
        <v>2440</v>
      </c>
      <c r="T101" s="1" t="s">
        <v>2442</v>
      </c>
      <c r="U101" s="9" t="s">
        <v>2480</v>
      </c>
      <c r="V101" s="13" t="s">
        <v>3434</v>
      </c>
      <c r="W101" s="13" t="s">
        <v>3435</v>
      </c>
      <c r="X101" s="2">
        <v>3043</v>
      </c>
      <c r="Y101" s="60">
        <v>90952.65</v>
      </c>
      <c r="Z101" s="60">
        <v>98543.1</v>
      </c>
      <c r="AA101" s="2" t="s">
        <v>3741</v>
      </c>
      <c r="AB101" s="66"/>
      <c r="AC101" s="66"/>
      <c r="AD101" s="66"/>
      <c r="AE101" s="66"/>
      <c r="AF101" s="66"/>
      <c r="AG101" s="66"/>
      <c r="AH101" s="43"/>
      <c r="AI101" s="43"/>
      <c r="AJ101" s="2"/>
      <c r="AK101" s="1"/>
      <c r="AL101" s="1"/>
      <c r="AM101" s="1"/>
      <c r="AN101" s="44">
        <f t="shared" si="2"/>
        <v>0</v>
      </c>
      <c r="AO101" s="45">
        <f t="shared" si="3"/>
        <v>0</v>
      </c>
      <c r="AP101" s="13" t="s">
        <v>2413</v>
      </c>
    </row>
    <row r="102" spans="1:42" ht="25.5">
      <c r="A102" s="2">
        <v>81</v>
      </c>
      <c r="B102" s="2">
        <v>82</v>
      </c>
      <c r="C102" s="2" t="s">
        <v>76</v>
      </c>
      <c r="D102" s="2" t="s">
        <v>6</v>
      </c>
      <c r="E102" s="2">
        <v>3</v>
      </c>
      <c r="F102" s="2" t="s">
        <v>1465</v>
      </c>
      <c r="G102" s="2" t="s">
        <v>1466</v>
      </c>
      <c r="H102" s="2" t="s">
        <v>2508</v>
      </c>
      <c r="I102" s="1" t="s">
        <v>4166</v>
      </c>
      <c r="J102" s="1" t="s">
        <v>4127</v>
      </c>
      <c r="K102" s="63">
        <v>29104391</v>
      </c>
      <c r="L102" s="1" t="s">
        <v>2438</v>
      </c>
      <c r="M102" s="1">
        <v>3447000</v>
      </c>
      <c r="N102" s="1" t="s">
        <v>3735</v>
      </c>
      <c r="O102" s="1" t="s">
        <v>4181</v>
      </c>
      <c r="P102" s="1">
        <v>3428</v>
      </c>
      <c r="Q102" s="64">
        <v>43073</v>
      </c>
      <c r="R102" s="64">
        <v>46724</v>
      </c>
      <c r="S102" s="62" t="s">
        <v>2440</v>
      </c>
      <c r="T102" s="29" t="s">
        <v>2441</v>
      </c>
      <c r="U102" s="9" t="s">
        <v>2447</v>
      </c>
      <c r="V102" s="2" t="s">
        <v>3436</v>
      </c>
      <c r="W102" s="2" t="s">
        <v>3437</v>
      </c>
      <c r="X102" s="2">
        <v>3038</v>
      </c>
      <c r="Y102" s="60">
        <v>90949.58</v>
      </c>
      <c r="Z102" s="60">
        <v>98499.3</v>
      </c>
      <c r="AA102" s="2" t="s">
        <v>3741</v>
      </c>
      <c r="AB102" s="66"/>
      <c r="AC102" s="66"/>
      <c r="AD102" s="93"/>
      <c r="AE102" s="93"/>
      <c r="AF102" s="93"/>
      <c r="AG102" s="93"/>
      <c r="AH102" s="93"/>
      <c r="AI102" s="93"/>
      <c r="AJ102" s="93"/>
      <c r="AK102" s="93"/>
      <c r="AL102" s="93"/>
      <c r="AM102" s="93"/>
      <c r="AN102" s="117">
        <f t="shared" si="2"/>
        <v>0</v>
      </c>
      <c r="AO102" s="118">
        <f t="shared" si="3"/>
        <v>0</v>
      </c>
      <c r="AP102" s="13" t="s">
        <v>2413</v>
      </c>
    </row>
    <row r="103" spans="1:42" ht="25.5">
      <c r="A103" s="2">
        <v>82</v>
      </c>
      <c r="B103" s="2">
        <v>83</v>
      </c>
      <c r="C103" s="2" t="s">
        <v>76</v>
      </c>
      <c r="D103" s="2" t="s">
        <v>6</v>
      </c>
      <c r="E103" s="2">
        <v>3</v>
      </c>
      <c r="F103" s="13" t="s">
        <v>1467</v>
      </c>
      <c r="G103" s="13" t="s">
        <v>1468</v>
      </c>
      <c r="H103" s="2" t="s">
        <v>2508</v>
      </c>
      <c r="I103" s="1" t="s">
        <v>4166</v>
      </c>
      <c r="J103" s="1" t="s">
        <v>4127</v>
      </c>
      <c r="K103" s="63">
        <v>29104391</v>
      </c>
      <c r="L103" s="1" t="s">
        <v>2438</v>
      </c>
      <c r="M103" s="1">
        <v>3447000</v>
      </c>
      <c r="N103" s="1" t="s">
        <v>3735</v>
      </c>
      <c r="O103" s="1" t="s">
        <v>4181</v>
      </c>
      <c r="P103" s="1">
        <v>3428</v>
      </c>
      <c r="Q103" s="64">
        <v>43073</v>
      </c>
      <c r="R103" s="64">
        <v>46724</v>
      </c>
      <c r="S103" s="62" t="s">
        <v>2440</v>
      </c>
      <c r="T103" s="1" t="s">
        <v>2442</v>
      </c>
      <c r="U103" s="9" t="s">
        <v>2444</v>
      </c>
      <c r="V103" s="13" t="s">
        <v>3438</v>
      </c>
      <c r="W103" s="13" t="s">
        <v>3439</v>
      </c>
      <c r="X103" s="2">
        <v>3032</v>
      </c>
      <c r="Y103" s="60">
        <v>90941.58</v>
      </c>
      <c r="Z103" s="60">
        <v>98439.48</v>
      </c>
      <c r="AA103" s="2" t="s">
        <v>3741</v>
      </c>
      <c r="AB103" s="66"/>
      <c r="AC103" s="66"/>
      <c r="AD103" s="66"/>
      <c r="AE103" s="66"/>
      <c r="AF103" s="66"/>
      <c r="AG103" s="66"/>
      <c r="AH103" s="43"/>
      <c r="AI103" s="43"/>
      <c r="AJ103" s="2"/>
      <c r="AK103" s="1"/>
      <c r="AL103" s="1"/>
      <c r="AM103" s="1"/>
      <c r="AN103" s="44">
        <f t="shared" si="2"/>
        <v>0</v>
      </c>
      <c r="AO103" s="45">
        <f t="shared" si="3"/>
        <v>0</v>
      </c>
      <c r="AP103" s="13" t="s">
        <v>2413</v>
      </c>
    </row>
    <row r="104" spans="1:42" ht="25.5">
      <c r="A104" s="2">
        <v>83</v>
      </c>
      <c r="B104" s="2">
        <v>84</v>
      </c>
      <c r="C104" s="2" t="s">
        <v>76</v>
      </c>
      <c r="D104" s="2" t="s">
        <v>6</v>
      </c>
      <c r="E104" s="2">
        <v>3</v>
      </c>
      <c r="F104" s="13" t="s">
        <v>1469</v>
      </c>
      <c r="G104" s="13" t="s">
        <v>1470</v>
      </c>
      <c r="H104" s="2" t="s">
        <v>2508</v>
      </c>
      <c r="I104" s="1" t="s">
        <v>4166</v>
      </c>
      <c r="J104" s="1" t="s">
        <v>4127</v>
      </c>
      <c r="K104" s="63">
        <v>29104391</v>
      </c>
      <c r="L104" s="1" t="s">
        <v>2438</v>
      </c>
      <c r="M104" s="1">
        <v>3447000</v>
      </c>
      <c r="N104" s="1" t="s">
        <v>3735</v>
      </c>
      <c r="O104" s="1" t="s">
        <v>4181</v>
      </c>
      <c r="P104" s="1">
        <v>3428</v>
      </c>
      <c r="Q104" s="64">
        <v>43073</v>
      </c>
      <c r="R104" s="64">
        <v>46724</v>
      </c>
      <c r="S104" s="62" t="s">
        <v>2440</v>
      </c>
      <c r="T104" s="29" t="s">
        <v>2441</v>
      </c>
      <c r="U104" s="9" t="s">
        <v>2443</v>
      </c>
      <c r="V104" s="13" t="s">
        <v>3440</v>
      </c>
      <c r="W104" s="13" t="s">
        <v>3441</v>
      </c>
      <c r="X104" s="2">
        <v>3010</v>
      </c>
      <c r="Y104" s="60">
        <v>90918.83</v>
      </c>
      <c r="Z104" s="60">
        <v>98259.69</v>
      </c>
      <c r="AA104" s="2" t="s">
        <v>3741</v>
      </c>
      <c r="AB104" s="66"/>
      <c r="AC104" s="66"/>
      <c r="AD104" s="66"/>
      <c r="AE104" s="66"/>
      <c r="AF104" s="66"/>
      <c r="AG104" s="66"/>
      <c r="AH104" s="43"/>
      <c r="AI104" s="43"/>
      <c r="AJ104" s="2"/>
      <c r="AK104" s="1"/>
      <c r="AL104" s="1"/>
      <c r="AM104" s="1"/>
      <c r="AN104" s="44">
        <f t="shared" si="2"/>
        <v>0</v>
      </c>
      <c r="AO104" s="45">
        <f t="shared" si="3"/>
        <v>0</v>
      </c>
      <c r="AP104" s="13" t="s">
        <v>2413</v>
      </c>
    </row>
    <row r="105" spans="1:42" ht="55.5" customHeight="1">
      <c r="A105" s="2"/>
      <c r="B105" s="2">
        <v>85</v>
      </c>
      <c r="C105" s="2" t="s">
        <v>76</v>
      </c>
      <c r="D105" s="2" t="s">
        <v>6</v>
      </c>
      <c r="E105" s="2">
        <v>3</v>
      </c>
      <c r="F105" s="13" t="s">
        <v>2570</v>
      </c>
      <c r="G105" s="2" t="s">
        <v>2571</v>
      </c>
      <c r="H105" s="2" t="s">
        <v>2508</v>
      </c>
      <c r="I105" s="1" t="s">
        <v>4166</v>
      </c>
      <c r="J105" s="1" t="s">
        <v>4127</v>
      </c>
      <c r="K105" s="63">
        <v>29104391</v>
      </c>
      <c r="L105" s="1" t="s">
        <v>2438</v>
      </c>
      <c r="M105" s="1">
        <v>3447000</v>
      </c>
      <c r="N105" s="1" t="s">
        <v>3735</v>
      </c>
      <c r="O105" s="1" t="s">
        <v>4181</v>
      </c>
      <c r="P105" s="1">
        <v>3428</v>
      </c>
      <c r="Q105" s="64">
        <v>43073</v>
      </c>
      <c r="R105" s="64">
        <v>46724</v>
      </c>
      <c r="S105" s="62" t="s">
        <v>2440</v>
      </c>
      <c r="T105" s="29" t="s">
        <v>2441</v>
      </c>
      <c r="U105" s="9" t="s">
        <v>2444</v>
      </c>
      <c r="V105" s="13" t="s">
        <v>2572</v>
      </c>
      <c r="W105" s="13" t="s">
        <v>2573</v>
      </c>
      <c r="X105" s="2">
        <v>2729</v>
      </c>
      <c r="Y105" s="60">
        <v>90928.24</v>
      </c>
      <c r="Z105" s="60">
        <v>96497.85</v>
      </c>
      <c r="AA105" s="2" t="s">
        <v>4107</v>
      </c>
      <c r="AB105" s="83">
        <v>43738</v>
      </c>
      <c r="AC105" s="13" t="s">
        <v>3736</v>
      </c>
      <c r="AD105" s="2">
        <v>292</v>
      </c>
      <c r="AE105" s="2">
        <v>216</v>
      </c>
      <c r="AF105" s="2">
        <v>5.93</v>
      </c>
      <c r="AG105" s="2">
        <v>24</v>
      </c>
      <c r="AH105" s="43">
        <f>AF105*AD105*AG105*0.0036</f>
        <v>149.606784</v>
      </c>
      <c r="AI105" s="43">
        <f>AF105*AE105*AG105*0.0036</f>
        <v>110.66803199999998</v>
      </c>
      <c r="AJ105" s="2">
        <v>30</v>
      </c>
      <c r="AK105" s="1">
        <v>12</v>
      </c>
      <c r="AL105" s="1">
        <v>0.5</v>
      </c>
      <c r="AM105" s="1">
        <v>0.57</v>
      </c>
      <c r="AN105" s="44">
        <f>AH105*AJ105*AK105*AL105</f>
        <v>26929.221120000002</v>
      </c>
      <c r="AO105" s="45">
        <f>AI105*AJ105*AK105*AM105</f>
        <v>22709.080166399996</v>
      </c>
      <c r="AP105" s="13" t="s">
        <v>2413</v>
      </c>
    </row>
    <row r="106" spans="1:42" ht="38.25">
      <c r="A106" s="2">
        <v>84</v>
      </c>
      <c r="B106" s="2">
        <v>86</v>
      </c>
      <c r="C106" s="2" t="s">
        <v>1471</v>
      </c>
      <c r="D106" s="2" t="s">
        <v>6</v>
      </c>
      <c r="E106" s="2">
        <v>3</v>
      </c>
      <c r="F106" s="2" t="s">
        <v>2332</v>
      </c>
      <c r="G106" s="2" t="s">
        <v>1472</v>
      </c>
      <c r="H106" s="2" t="s">
        <v>2508</v>
      </c>
      <c r="I106" s="1" t="s">
        <v>4166</v>
      </c>
      <c r="J106" s="1" t="s">
        <v>4127</v>
      </c>
      <c r="K106" s="63">
        <v>29104391</v>
      </c>
      <c r="L106" s="1" t="s">
        <v>2438</v>
      </c>
      <c r="M106" s="1">
        <v>3447000</v>
      </c>
      <c r="N106" s="1" t="s">
        <v>3735</v>
      </c>
      <c r="O106" s="1" t="s">
        <v>4181</v>
      </c>
      <c r="P106" s="1">
        <v>3428</v>
      </c>
      <c r="Q106" s="64">
        <v>43073</v>
      </c>
      <c r="R106" s="64">
        <v>46724</v>
      </c>
      <c r="S106" s="62" t="s">
        <v>2440</v>
      </c>
      <c r="T106" s="29" t="s">
        <v>2441</v>
      </c>
      <c r="U106" s="9" t="s">
        <v>2443</v>
      </c>
      <c r="V106" s="13" t="s">
        <v>3442</v>
      </c>
      <c r="W106" s="13" t="s">
        <v>1473</v>
      </c>
      <c r="X106" s="2">
        <v>2693</v>
      </c>
      <c r="Y106" s="60">
        <v>91367.354</v>
      </c>
      <c r="Z106" s="60">
        <v>96181.421</v>
      </c>
      <c r="AA106" s="2" t="s">
        <v>3741</v>
      </c>
      <c r="AB106" s="66"/>
      <c r="AC106" s="66"/>
      <c r="AD106" s="66"/>
      <c r="AE106" s="66"/>
      <c r="AF106" s="66"/>
      <c r="AG106" s="66"/>
      <c r="AH106" s="43"/>
      <c r="AI106" s="43"/>
      <c r="AJ106" s="2"/>
      <c r="AK106" s="1"/>
      <c r="AL106" s="1"/>
      <c r="AM106" s="1"/>
      <c r="AN106" s="44">
        <f t="shared" si="2"/>
        <v>0</v>
      </c>
      <c r="AO106" s="45">
        <f t="shared" si="3"/>
        <v>0</v>
      </c>
      <c r="AP106" s="66"/>
    </row>
    <row r="107" spans="1:42" ht="25.5">
      <c r="A107" s="2">
        <v>85</v>
      </c>
      <c r="B107" s="2">
        <v>87</v>
      </c>
      <c r="C107" s="2" t="s">
        <v>76</v>
      </c>
      <c r="D107" s="2" t="s">
        <v>6</v>
      </c>
      <c r="E107" s="2">
        <v>3</v>
      </c>
      <c r="F107" s="2" t="s">
        <v>2330</v>
      </c>
      <c r="G107" s="2" t="s">
        <v>1474</v>
      </c>
      <c r="H107" s="2" t="s">
        <v>2508</v>
      </c>
      <c r="I107" s="1" t="s">
        <v>4166</v>
      </c>
      <c r="J107" s="1" t="s">
        <v>4127</v>
      </c>
      <c r="K107" s="63">
        <v>29104391</v>
      </c>
      <c r="L107" s="1" t="s">
        <v>2438</v>
      </c>
      <c r="M107" s="1">
        <v>3447000</v>
      </c>
      <c r="N107" s="1" t="s">
        <v>3735</v>
      </c>
      <c r="O107" s="1" t="s">
        <v>4181</v>
      </c>
      <c r="P107" s="1">
        <v>3428</v>
      </c>
      <c r="Q107" s="64">
        <v>43073</v>
      </c>
      <c r="R107" s="64">
        <v>46724</v>
      </c>
      <c r="S107" s="62" t="s">
        <v>2440</v>
      </c>
      <c r="T107" s="29" t="s">
        <v>2441</v>
      </c>
      <c r="U107" s="9" t="s">
        <v>2443</v>
      </c>
      <c r="V107" s="2" t="s">
        <v>3443</v>
      </c>
      <c r="W107" s="2" t="s">
        <v>3444</v>
      </c>
      <c r="X107" s="2">
        <v>2640</v>
      </c>
      <c r="Y107" s="60">
        <v>91735.16</v>
      </c>
      <c r="Z107" s="60">
        <v>95718.51</v>
      </c>
      <c r="AA107" s="2" t="s">
        <v>3741</v>
      </c>
      <c r="AB107" s="66"/>
      <c r="AC107" s="66"/>
      <c r="AD107" s="93"/>
      <c r="AE107" s="93"/>
      <c r="AF107" s="93"/>
      <c r="AG107" s="93"/>
      <c r="AH107" s="93"/>
      <c r="AI107" s="93"/>
      <c r="AJ107" s="93"/>
      <c r="AK107" s="93"/>
      <c r="AL107" s="93"/>
      <c r="AM107" s="93"/>
      <c r="AN107" s="117">
        <f t="shared" si="2"/>
        <v>0</v>
      </c>
      <c r="AO107" s="118">
        <f t="shared" si="3"/>
        <v>0</v>
      </c>
      <c r="AP107" s="13" t="s">
        <v>2413</v>
      </c>
    </row>
    <row r="108" spans="1:42" ht="44.25" customHeight="1">
      <c r="A108" s="2">
        <v>86</v>
      </c>
      <c r="B108" s="2">
        <v>88</v>
      </c>
      <c r="C108" s="2" t="s">
        <v>76</v>
      </c>
      <c r="D108" s="2" t="s">
        <v>6</v>
      </c>
      <c r="E108" s="2">
        <v>3</v>
      </c>
      <c r="F108" s="2" t="s">
        <v>2331</v>
      </c>
      <c r="G108" s="2" t="s">
        <v>1475</v>
      </c>
      <c r="H108" s="2" t="s">
        <v>2508</v>
      </c>
      <c r="I108" s="1" t="s">
        <v>4166</v>
      </c>
      <c r="J108" s="1" t="s">
        <v>4127</v>
      </c>
      <c r="K108" s="63">
        <v>29104391</v>
      </c>
      <c r="L108" s="1" t="s">
        <v>2438</v>
      </c>
      <c r="M108" s="1">
        <v>3447000</v>
      </c>
      <c r="N108" s="1" t="s">
        <v>3735</v>
      </c>
      <c r="O108" s="1" t="s">
        <v>4181</v>
      </c>
      <c r="P108" s="1">
        <v>3428</v>
      </c>
      <c r="Q108" s="64">
        <v>43073</v>
      </c>
      <c r="R108" s="64">
        <v>46724</v>
      </c>
      <c r="S108" s="62" t="s">
        <v>2440</v>
      </c>
      <c r="T108" s="29" t="s">
        <v>2441</v>
      </c>
      <c r="U108" s="9" t="s">
        <v>2444</v>
      </c>
      <c r="V108" s="2" t="s">
        <v>3445</v>
      </c>
      <c r="W108" s="2" t="s">
        <v>3446</v>
      </c>
      <c r="X108" s="2">
        <v>2639</v>
      </c>
      <c r="Y108" s="60">
        <v>91731.78</v>
      </c>
      <c r="Z108" s="60">
        <v>95717.89</v>
      </c>
      <c r="AA108" s="2" t="s">
        <v>3811</v>
      </c>
      <c r="AB108" s="104">
        <v>43704</v>
      </c>
      <c r="AC108" s="135">
        <v>0.47222222222222227</v>
      </c>
      <c r="AD108" s="93"/>
      <c r="AE108" s="93"/>
      <c r="AF108" s="93"/>
      <c r="AG108" s="93"/>
      <c r="AH108" s="93"/>
      <c r="AI108" s="93"/>
      <c r="AJ108" s="93"/>
      <c r="AK108" s="93"/>
      <c r="AL108" s="93"/>
      <c r="AM108" s="93"/>
      <c r="AN108" s="117">
        <f t="shared" si="2"/>
        <v>0</v>
      </c>
      <c r="AO108" s="118">
        <f t="shared" si="3"/>
        <v>0</v>
      </c>
      <c r="AP108" s="13" t="s">
        <v>2413</v>
      </c>
    </row>
    <row r="109" spans="1:42" ht="25.5">
      <c r="A109" s="2">
        <v>87</v>
      </c>
      <c r="B109" s="2">
        <v>89</v>
      </c>
      <c r="C109" s="2" t="s">
        <v>76</v>
      </c>
      <c r="D109" s="2" t="s">
        <v>6</v>
      </c>
      <c r="E109" s="2">
        <v>3</v>
      </c>
      <c r="F109" s="2" t="s">
        <v>2333</v>
      </c>
      <c r="G109" s="2" t="s">
        <v>1476</v>
      </c>
      <c r="H109" s="2" t="s">
        <v>2508</v>
      </c>
      <c r="I109" s="1" t="s">
        <v>4166</v>
      </c>
      <c r="J109" s="1" t="s">
        <v>4127</v>
      </c>
      <c r="K109" s="63">
        <v>29104391</v>
      </c>
      <c r="L109" s="1" t="s">
        <v>2438</v>
      </c>
      <c r="M109" s="1">
        <v>3447000</v>
      </c>
      <c r="N109" s="1" t="s">
        <v>3735</v>
      </c>
      <c r="O109" s="1" t="s">
        <v>4181</v>
      </c>
      <c r="P109" s="1">
        <v>3428</v>
      </c>
      <c r="Q109" s="64">
        <v>43073</v>
      </c>
      <c r="R109" s="64">
        <v>46724</v>
      </c>
      <c r="S109" s="62" t="s">
        <v>2440</v>
      </c>
      <c r="T109" s="1" t="s">
        <v>2442</v>
      </c>
      <c r="U109" s="9" t="s">
        <v>2443</v>
      </c>
      <c r="V109" s="2" t="s">
        <v>3447</v>
      </c>
      <c r="W109" s="2" t="s">
        <v>3448</v>
      </c>
      <c r="X109" s="2">
        <v>2619</v>
      </c>
      <c r="Y109" s="60">
        <v>92019.08</v>
      </c>
      <c r="Z109" s="60">
        <v>95237.72</v>
      </c>
      <c r="AA109" s="2" t="s">
        <v>3741</v>
      </c>
      <c r="AB109" s="66"/>
      <c r="AC109" s="66"/>
      <c r="AD109" s="93"/>
      <c r="AE109" s="93"/>
      <c r="AF109" s="93"/>
      <c r="AG109" s="93"/>
      <c r="AH109" s="93"/>
      <c r="AI109" s="93"/>
      <c r="AJ109" s="93"/>
      <c r="AK109" s="93"/>
      <c r="AL109" s="93"/>
      <c r="AM109" s="93"/>
      <c r="AN109" s="117">
        <f t="shared" si="2"/>
        <v>0</v>
      </c>
      <c r="AO109" s="118">
        <f t="shared" si="3"/>
        <v>0</v>
      </c>
      <c r="AP109" s="13" t="s">
        <v>2413</v>
      </c>
    </row>
    <row r="110" spans="1:42" ht="51">
      <c r="A110" s="2">
        <v>88</v>
      </c>
      <c r="B110" s="2">
        <v>90</v>
      </c>
      <c r="C110" s="2" t="s">
        <v>1477</v>
      </c>
      <c r="D110" s="2" t="s">
        <v>6</v>
      </c>
      <c r="E110" s="2">
        <v>3</v>
      </c>
      <c r="F110" s="2" t="s">
        <v>2334</v>
      </c>
      <c r="G110" s="2" t="s">
        <v>1478</v>
      </c>
      <c r="H110" s="2" t="s">
        <v>2508</v>
      </c>
      <c r="I110" s="1" t="s">
        <v>4166</v>
      </c>
      <c r="J110" s="1" t="s">
        <v>4127</v>
      </c>
      <c r="K110" s="63">
        <v>29104391</v>
      </c>
      <c r="L110" s="1" t="s">
        <v>2438</v>
      </c>
      <c r="M110" s="1">
        <v>3447000</v>
      </c>
      <c r="N110" s="1" t="s">
        <v>3735</v>
      </c>
      <c r="O110" s="1" t="s">
        <v>4181</v>
      </c>
      <c r="P110" s="1">
        <v>3428</v>
      </c>
      <c r="Q110" s="64">
        <v>43073</v>
      </c>
      <c r="R110" s="64">
        <v>46724</v>
      </c>
      <c r="S110" s="62" t="s">
        <v>2440</v>
      </c>
      <c r="T110" s="29" t="s">
        <v>2441</v>
      </c>
      <c r="U110" s="9" t="s">
        <v>2447</v>
      </c>
      <c r="V110" s="13" t="s">
        <v>3449</v>
      </c>
      <c r="W110" s="13" t="s">
        <v>3450</v>
      </c>
      <c r="X110" s="2">
        <v>2592</v>
      </c>
      <c r="Y110" s="60">
        <v>92518.133</v>
      </c>
      <c r="Z110" s="60">
        <v>95247.576</v>
      </c>
      <c r="AA110" s="2" t="s">
        <v>3741</v>
      </c>
      <c r="AB110" s="66"/>
      <c r="AC110" s="66"/>
      <c r="AD110" s="66"/>
      <c r="AE110" s="66"/>
      <c r="AF110" s="66"/>
      <c r="AG110" s="66"/>
      <c r="AH110" s="43"/>
      <c r="AI110" s="43"/>
      <c r="AJ110" s="2"/>
      <c r="AK110" s="1"/>
      <c r="AL110" s="1"/>
      <c r="AM110" s="1"/>
      <c r="AN110" s="44">
        <f t="shared" si="2"/>
        <v>0</v>
      </c>
      <c r="AO110" s="45">
        <f t="shared" si="3"/>
        <v>0</v>
      </c>
      <c r="AP110" s="66"/>
    </row>
    <row r="111" spans="1:42" ht="25.5">
      <c r="A111" s="2">
        <v>89</v>
      </c>
      <c r="B111" s="2">
        <v>91</v>
      </c>
      <c r="C111" s="2" t="s">
        <v>76</v>
      </c>
      <c r="D111" s="2" t="s">
        <v>6</v>
      </c>
      <c r="E111" s="2">
        <v>3</v>
      </c>
      <c r="F111" s="2" t="s">
        <v>2311</v>
      </c>
      <c r="G111" s="2" t="s">
        <v>1479</v>
      </c>
      <c r="H111" s="2" t="s">
        <v>2508</v>
      </c>
      <c r="I111" s="1" t="s">
        <v>4166</v>
      </c>
      <c r="J111" s="1" t="s">
        <v>4127</v>
      </c>
      <c r="K111" s="63">
        <v>29104391</v>
      </c>
      <c r="L111" s="1" t="s">
        <v>2438</v>
      </c>
      <c r="M111" s="1">
        <v>3447000</v>
      </c>
      <c r="N111" s="1" t="s">
        <v>3735</v>
      </c>
      <c r="O111" s="1" t="s">
        <v>4181</v>
      </c>
      <c r="P111" s="1">
        <v>3428</v>
      </c>
      <c r="Q111" s="64">
        <v>43073</v>
      </c>
      <c r="R111" s="64">
        <v>46724</v>
      </c>
      <c r="S111" s="62" t="s">
        <v>2440</v>
      </c>
      <c r="T111" s="30" t="s">
        <v>2436</v>
      </c>
      <c r="U111" s="87" t="s">
        <v>2436</v>
      </c>
      <c r="V111" s="2" t="s">
        <v>3451</v>
      </c>
      <c r="W111" s="2" t="s">
        <v>1480</v>
      </c>
      <c r="X111" s="2">
        <v>2585</v>
      </c>
      <c r="Y111" s="60">
        <v>92651.801</v>
      </c>
      <c r="Z111" s="60">
        <v>95123.601</v>
      </c>
      <c r="AA111" s="2" t="s">
        <v>3741</v>
      </c>
      <c r="AB111" s="66"/>
      <c r="AC111" s="66"/>
      <c r="AD111" s="93"/>
      <c r="AE111" s="93"/>
      <c r="AF111" s="93"/>
      <c r="AG111" s="93"/>
      <c r="AH111" s="93"/>
      <c r="AI111" s="93"/>
      <c r="AJ111" s="93"/>
      <c r="AK111" s="93"/>
      <c r="AL111" s="93"/>
      <c r="AM111" s="93"/>
      <c r="AN111" s="117">
        <f t="shared" si="2"/>
        <v>0</v>
      </c>
      <c r="AO111" s="118">
        <f t="shared" si="3"/>
        <v>0</v>
      </c>
      <c r="AP111" s="66"/>
    </row>
    <row r="112" spans="1:42" ht="51">
      <c r="A112" s="2">
        <v>90</v>
      </c>
      <c r="B112" s="2">
        <v>92</v>
      </c>
      <c r="C112" s="2" t="s">
        <v>1481</v>
      </c>
      <c r="D112" s="2" t="s">
        <v>6</v>
      </c>
      <c r="E112" s="2">
        <v>3</v>
      </c>
      <c r="F112" s="24" t="s">
        <v>1482</v>
      </c>
      <c r="G112" s="2" t="s">
        <v>1483</v>
      </c>
      <c r="H112" s="2" t="s">
        <v>2508</v>
      </c>
      <c r="I112" s="1" t="s">
        <v>4166</v>
      </c>
      <c r="J112" s="1" t="s">
        <v>4127</v>
      </c>
      <c r="K112" s="63">
        <v>29104391</v>
      </c>
      <c r="L112" s="1" t="s">
        <v>2438</v>
      </c>
      <c r="M112" s="1">
        <v>3447000</v>
      </c>
      <c r="N112" s="1" t="s">
        <v>3735</v>
      </c>
      <c r="O112" s="1" t="s">
        <v>4181</v>
      </c>
      <c r="P112" s="1">
        <v>3428</v>
      </c>
      <c r="Q112" s="64">
        <v>43073</v>
      </c>
      <c r="R112" s="64">
        <v>46724</v>
      </c>
      <c r="S112" s="62" t="s">
        <v>2440</v>
      </c>
      <c r="T112" s="30" t="s">
        <v>2436</v>
      </c>
      <c r="U112" s="9" t="s">
        <v>2443</v>
      </c>
      <c r="V112" s="13" t="s">
        <v>3453</v>
      </c>
      <c r="W112" s="13" t="s">
        <v>3452</v>
      </c>
      <c r="X112" s="2">
        <v>2580</v>
      </c>
      <c r="Y112" s="60">
        <v>93187.111</v>
      </c>
      <c r="Z112" s="60">
        <v>95166.756</v>
      </c>
      <c r="AA112" s="2" t="s">
        <v>3741</v>
      </c>
      <c r="AB112" s="66"/>
      <c r="AC112" s="66"/>
      <c r="AD112" s="66"/>
      <c r="AE112" s="66"/>
      <c r="AF112" s="66"/>
      <c r="AG112" s="66"/>
      <c r="AH112" s="43"/>
      <c r="AI112" s="43"/>
      <c r="AJ112" s="2"/>
      <c r="AK112" s="1"/>
      <c r="AL112" s="1"/>
      <c r="AM112" s="1"/>
      <c r="AN112" s="44">
        <f t="shared" si="2"/>
        <v>0</v>
      </c>
      <c r="AO112" s="45">
        <f t="shared" si="3"/>
        <v>0</v>
      </c>
      <c r="AP112" s="66"/>
    </row>
    <row r="113" spans="1:42" ht="12.75">
      <c r="A113" s="2"/>
      <c r="B113" s="226" t="s">
        <v>2549</v>
      </c>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119">
        <f>AN99+AN102+AN107+AN108+AN109+AN111</f>
        <v>0</v>
      </c>
      <c r="AO113" s="119">
        <f>AO99+AO102+AO107+AO108+AO109+AO111</f>
        <v>0</v>
      </c>
      <c r="AP113" s="66"/>
    </row>
    <row r="114" spans="1:42" ht="12.75">
      <c r="A114" s="2"/>
      <c r="B114" s="227" t="s">
        <v>2550</v>
      </c>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73">
        <f>SUM(AN98:AN112)</f>
        <v>26929.221120000002</v>
      </c>
      <c r="AO114" s="73">
        <f>SUM(AO98:AO112)</f>
        <v>22709.080166399996</v>
      </c>
      <c r="AP114" s="66"/>
    </row>
    <row r="115" spans="1:42" ht="25.5">
      <c r="A115" s="2">
        <v>91</v>
      </c>
      <c r="B115" s="2">
        <v>93</v>
      </c>
      <c r="C115" s="2" t="s">
        <v>77</v>
      </c>
      <c r="D115" s="2" t="s">
        <v>6</v>
      </c>
      <c r="E115" s="2">
        <v>3</v>
      </c>
      <c r="F115" s="13" t="s">
        <v>1484</v>
      </c>
      <c r="G115" s="2" t="s">
        <v>1485</v>
      </c>
      <c r="H115" s="2" t="s">
        <v>2510</v>
      </c>
      <c r="I115" s="1" t="s">
        <v>4166</v>
      </c>
      <c r="J115" s="1" t="s">
        <v>4127</v>
      </c>
      <c r="K115" s="63">
        <v>29104391</v>
      </c>
      <c r="L115" s="1" t="s">
        <v>2438</v>
      </c>
      <c r="M115" s="1">
        <v>3447000</v>
      </c>
      <c r="N115" s="1" t="s">
        <v>3735</v>
      </c>
      <c r="O115" s="1" t="s">
        <v>4181</v>
      </c>
      <c r="P115" s="1">
        <v>3428</v>
      </c>
      <c r="Q115" s="64">
        <v>43073</v>
      </c>
      <c r="R115" s="64">
        <v>46724</v>
      </c>
      <c r="S115" s="62" t="s">
        <v>2440</v>
      </c>
      <c r="T115" s="30" t="s">
        <v>2436</v>
      </c>
      <c r="U115" s="9" t="s">
        <v>2480</v>
      </c>
      <c r="V115" s="13" t="s">
        <v>3454</v>
      </c>
      <c r="W115" s="13" t="s">
        <v>1486</v>
      </c>
      <c r="X115" s="13">
        <v>2819</v>
      </c>
      <c r="Y115" s="60">
        <v>93270.03</v>
      </c>
      <c r="Z115" s="60">
        <v>91907.153</v>
      </c>
      <c r="AA115" s="2" t="s">
        <v>3741</v>
      </c>
      <c r="AB115" s="66"/>
      <c r="AC115" s="66"/>
      <c r="AD115" s="66"/>
      <c r="AE115" s="66"/>
      <c r="AF115" s="66"/>
      <c r="AG115" s="66"/>
      <c r="AH115" s="43"/>
      <c r="AI115" s="43"/>
      <c r="AJ115" s="2"/>
      <c r="AK115" s="1"/>
      <c r="AL115" s="1"/>
      <c r="AM115" s="1"/>
      <c r="AN115" s="44">
        <f t="shared" si="2"/>
        <v>0</v>
      </c>
      <c r="AO115" s="45">
        <f t="shared" si="3"/>
        <v>0</v>
      </c>
      <c r="AP115" s="66"/>
    </row>
    <row r="116" spans="1:42" ht="41.25" customHeight="1">
      <c r="A116" s="2"/>
      <c r="B116" s="2"/>
      <c r="C116" s="2" t="s">
        <v>77</v>
      </c>
      <c r="D116" s="2" t="s">
        <v>6</v>
      </c>
      <c r="E116" s="2">
        <v>3</v>
      </c>
      <c r="F116" s="13" t="s">
        <v>3816</v>
      </c>
      <c r="G116" s="2" t="s">
        <v>4164</v>
      </c>
      <c r="H116" s="2" t="s">
        <v>2510</v>
      </c>
      <c r="I116" s="1" t="s">
        <v>4166</v>
      </c>
      <c r="J116" s="1" t="s">
        <v>4127</v>
      </c>
      <c r="K116" s="63">
        <v>29104391</v>
      </c>
      <c r="L116" s="1" t="s">
        <v>2438</v>
      </c>
      <c r="M116" s="1">
        <v>3447000</v>
      </c>
      <c r="N116" s="1" t="s">
        <v>3735</v>
      </c>
      <c r="O116" s="1" t="s">
        <v>4181</v>
      </c>
      <c r="P116" s="1">
        <v>3428</v>
      </c>
      <c r="Q116" s="64">
        <v>43073</v>
      </c>
      <c r="R116" s="64">
        <v>46724</v>
      </c>
      <c r="S116" s="62" t="s">
        <v>2440</v>
      </c>
      <c r="T116" s="30" t="s">
        <v>2436</v>
      </c>
      <c r="U116" s="9" t="s">
        <v>2443</v>
      </c>
      <c r="V116" s="20" t="s">
        <v>4160</v>
      </c>
      <c r="W116" s="20" t="s">
        <v>4161</v>
      </c>
      <c r="X116" s="20"/>
      <c r="Y116" s="60"/>
      <c r="Z116" s="60"/>
      <c r="AA116" s="2" t="s">
        <v>4108</v>
      </c>
      <c r="AB116" s="104">
        <v>43725</v>
      </c>
      <c r="AC116" s="82" t="s">
        <v>2459</v>
      </c>
      <c r="AD116" s="82">
        <v>50.4</v>
      </c>
      <c r="AE116" s="82">
        <v>26.4</v>
      </c>
      <c r="AF116" s="82">
        <v>2.84</v>
      </c>
      <c r="AG116" s="82">
        <v>24</v>
      </c>
      <c r="AH116" s="102">
        <f>AF116*AD116*AG116*0.0036</f>
        <v>12.3669504</v>
      </c>
      <c r="AI116" s="102">
        <f>AF116*AE116*AG116*0.0036</f>
        <v>6.477926399999999</v>
      </c>
      <c r="AJ116" s="2">
        <v>30</v>
      </c>
      <c r="AK116" s="1">
        <v>12</v>
      </c>
      <c r="AL116" s="1">
        <v>0.62</v>
      </c>
      <c r="AM116" s="1">
        <v>0.76</v>
      </c>
      <c r="AN116" s="44">
        <f>AH116*AJ116*AK116*AL116</f>
        <v>2760.30332928</v>
      </c>
      <c r="AO116" s="45">
        <f>AI116*AJ116*AK116*AM116</f>
        <v>1772.3606630399997</v>
      </c>
      <c r="AP116" s="82" t="s">
        <v>2457</v>
      </c>
    </row>
    <row r="117" spans="1:42" ht="54" customHeight="1">
      <c r="A117" s="2">
        <v>92</v>
      </c>
      <c r="B117" s="2">
        <v>94</v>
      </c>
      <c r="C117" s="2" t="s">
        <v>77</v>
      </c>
      <c r="D117" s="2" t="s">
        <v>6</v>
      </c>
      <c r="E117" s="2">
        <v>3</v>
      </c>
      <c r="F117" s="13" t="s">
        <v>1487</v>
      </c>
      <c r="G117" s="2" t="s">
        <v>1488</v>
      </c>
      <c r="H117" s="2" t="s">
        <v>2510</v>
      </c>
      <c r="I117" s="1" t="s">
        <v>4166</v>
      </c>
      <c r="J117" s="1" t="s">
        <v>4127</v>
      </c>
      <c r="K117" s="63">
        <v>29104391</v>
      </c>
      <c r="L117" s="1" t="s">
        <v>2438</v>
      </c>
      <c r="M117" s="1">
        <v>3447000</v>
      </c>
      <c r="N117" s="1" t="s">
        <v>3735</v>
      </c>
      <c r="O117" s="1" t="s">
        <v>4181</v>
      </c>
      <c r="P117" s="1">
        <v>3428</v>
      </c>
      <c r="Q117" s="64">
        <v>43073</v>
      </c>
      <c r="R117" s="64">
        <v>46724</v>
      </c>
      <c r="S117" s="62" t="s">
        <v>2440</v>
      </c>
      <c r="T117" s="29" t="s">
        <v>2441</v>
      </c>
      <c r="U117" s="9" t="s">
        <v>2443</v>
      </c>
      <c r="V117" s="13" t="s">
        <v>3455</v>
      </c>
      <c r="W117" s="13" t="s">
        <v>1489</v>
      </c>
      <c r="X117" s="13">
        <v>2697</v>
      </c>
      <c r="Y117" s="60">
        <v>93523.24</v>
      </c>
      <c r="Z117" s="60">
        <v>92530.39</v>
      </c>
      <c r="AA117" s="2" t="s">
        <v>3824</v>
      </c>
      <c r="AB117" s="67">
        <v>43359</v>
      </c>
      <c r="AC117" s="50">
        <v>0.3263888888888889</v>
      </c>
      <c r="AD117" s="93"/>
      <c r="AE117" s="93"/>
      <c r="AF117" s="93"/>
      <c r="AG117" s="93"/>
      <c r="AH117" s="93"/>
      <c r="AI117" s="93"/>
      <c r="AJ117" s="93"/>
      <c r="AK117" s="93"/>
      <c r="AL117" s="93"/>
      <c r="AM117" s="93"/>
      <c r="AN117" s="44">
        <f t="shared" si="2"/>
        <v>0</v>
      </c>
      <c r="AO117" s="45">
        <f t="shared" si="3"/>
        <v>0</v>
      </c>
      <c r="AP117" s="13" t="s">
        <v>2457</v>
      </c>
    </row>
    <row r="118" spans="1:42" ht="38.25">
      <c r="A118" s="2">
        <v>93</v>
      </c>
      <c r="B118" s="2">
        <v>95</v>
      </c>
      <c r="C118" s="2" t="s">
        <v>78</v>
      </c>
      <c r="D118" s="2" t="s">
        <v>6</v>
      </c>
      <c r="E118" s="2">
        <v>3</v>
      </c>
      <c r="F118" s="13" t="s">
        <v>1490</v>
      </c>
      <c r="G118" s="2" t="s">
        <v>1491</v>
      </c>
      <c r="H118" s="2" t="s">
        <v>2510</v>
      </c>
      <c r="I118" s="1" t="s">
        <v>4166</v>
      </c>
      <c r="J118" s="1" t="s">
        <v>4127</v>
      </c>
      <c r="K118" s="63">
        <v>29104391</v>
      </c>
      <c r="L118" s="1" t="s">
        <v>2438</v>
      </c>
      <c r="M118" s="1">
        <v>3447000</v>
      </c>
      <c r="N118" s="1" t="s">
        <v>3735</v>
      </c>
      <c r="O118" s="1" t="s">
        <v>4181</v>
      </c>
      <c r="P118" s="1">
        <v>3428</v>
      </c>
      <c r="Q118" s="64">
        <v>43073</v>
      </c>
      <c r="R118" s="64">
        <v>46724</v>
      </c>
      <c r="S118" s="62" t="s">
        <v>2440</v>
      </c>
      <c r="T118" s="30" t="s">
        <v>2436</v>
      </c>
      <c r="U118" s="9" t="s">
        <v>2480</v>
      </c>
      <c r="V118" s="13" t="s">
        <v>3456</v>
      </c>
      <c r="W118" s="13" t="s">
        <v>3457</v>
      </c>
      <c r="X118" s="13">
        <v>2659</v>
      </c>
      <c r="Y118" s="60">
        <v>92990.085</v>
      </c>
      <c r="Z118" s="60">
        <v>92797.762</v>
      </c>
      <c r="AA118" s="2" t="s">
        <v>3741</v>
      </c>
      <c r="AB118" s="66"/>
      <c r="AC118" s="66"/>
      <c r="AD118" s="66"/>
      <c r="AE118" s="66"/>
      <c r="AF118" s="66"/>
      <c r="AG118" s="66"/>
      <c r="AH118" s="43"/>
      <c r="AI118" s="43"/>
      <c r="AJ118" s="2"/>
      <c r="AK118" s="1"/>
      <c r="AL118" s="1"/>
      <c r="AM118" s="1"/>
      <c r="AN118" s="44">
        <f t="shared" si="2"/>
        <v>0</v>
      </c>
      <c r="AO118" s="45">
        <f t="shared" si="3"/>
        <v>0</v>
      </c>
      <c r="AP118" s="66"/>
    </row>
    <row r="119" spans="1:42" ht="38.25">
      <c r="A119" s="2">
        <v>94</v>
      </c>
      <c r="B119" s="2">
        <v>96</v>
      </c>
      <c r="C119" s="2" t="s">
        <v>1492</v>
      </c>
      <c r="D119" s="2" t="s">
        <v>6</v>
      </c>
      <c r="E119" s="2">
        <v>3</v>
      </c>
      <c r="F119" s="13" t="s">
        <v>1493</v>
      </c>
      <c r="G119" s="2" t="s">
        <v>1494</v>
      </c>
      <c r="H119" s="2" t="s">
        <v>2510</v>
      </c>
      <c r="I119" s="1" t="s">
        <v>4166</v>
      </c>
      <c r="J119" s="1" t="s">
        <v>4127</v>
      </c>
      <c r="K119" s="63">
        <v>29104391</v>
      </c>
      <c r="L119" s="1" t="s">
        <v>2438</v>
      </c>
      <c r="M119" s="1">
        <v>3447000</v>
      </c>
      <c r="N119" s="1" t="s">
        <v>3735</v>
      </c>
      <c r="O119" s="1" t="s">
        <v>4181</v>
      </c>
      <c r="P119" s="1">
        <v>3428</v>
      </c>
      <c r="Q119" s="64">
        <v>43073</v>
      </c>
      <c r="R119" s="64">
        <v>46724</v>
      </c>
      <c r="S119" s="62" t="s">
        <v>2440</v>
      </c>
      <c r="T119" s="30" t="s">
        <v>2442</v>
      </c>
      <c r="U119" s="9" t="s">
        <v>2480</v>
      </c>
      <c r="V119" s="13" t="s">
        <v>3458</v>
      </c>
      <c r="W119" s="13" t="s">
        <v>3459</v>
      </c>
      <c r="X119" s="13">
        <v>2660</v>
      </c>
      <c r="Y119" s="60">
        <v>92999.611</v>
      </c>
      <c r="Z119" s="60">
        <v>92792.211</v>
      </c>
      <c r="AA119" s="2" t="s">
        <v>3741</v>
      </c>
      <c r="AB119" s="66"/>
      <c r="AC119" s="66"/>
      <c r="AD119" s="66"/>
      <c r="AE119" s="66"/>
      <c r="AF119" s="66"/>
      <c r="AG119" s="66"/>
      <c r="AH119" s="43"/>
      <c r="AI119" s="43"/>
      <c r="AJ119" s="2"/>
      <c r="AK119" s="1"/>
      <c r="AL119" s="1"/>
      <c r="AM119" s="1"/>
      <c r="AN119" s="44">
        <f t="shared" si="2"/>
        <v>0</v>
      </c>
      <c r="AO119" s="45">
        <f t="shared" si="3"/>
        <v>0</v>
      </c>
      <c r="AP119" s="66"/>
    </row>
    <row r="120" spans="1:42" ht="12.75">
      <c r="A120" s="2">
        <v>95</v>
      </c>
      <c r="B120" s="2">
        <v>97</v>
      </c>
      <c r="C120" s="2" t="s">
        <v>78</v>
      </c>
      <c r="D120" s="2" t="s">
        <v>6</v>
      </c>
      <c r="E120" s="2">
        <v>3</v>
      </c>
      <c r="F120" s="13" t="s">
        <v>1495</v>
      </c>
      <c r="G120" s="13" t="s">
        <v>1496</v>
      </c>
      <c r="H120" s="2" t="s">
        <v>2510</v>
      </c>
      <c r="I120" s="1" t="s">
        <v>4166</v>
      </c>
      <c r="J120" s="1" t="s">
        <v>4127</v>
      </c>
      <c r="K120" s="63">
        <v>29104391</v>
      </c>
      <c r="L120" s="1" t="s">
        <v>2438</v>
      </c>
      <c r="M120" s="1">
        <v>3447000</v>
      </c>
      <c r="N120" s="1" t="s">
        <v>3735</v>
      </c>
      <c r="O120" s="1" t="s">
        <v>4181</v>
      </c>
      <c r="P120" s="1">
        <v>3428</v>
      </c>
      <c r="Q120" s="64">
        <v>43073</v>
      </c>
      <c r="R120" s="64">
        <v>46724</v>
      </c>
      <c r="S120" s="62" t="s">
        <v>2440</v>
      </c>
      <c r="T120" s="1" t="s">
        <v>2442</v>
      </c>
      <c r="U120" s="9" t="s">
        <v>2447</v>
      </c>
      <c r="V120" s="13" t="s">
        <v>3460</v>
      </c>
      <c r="W120" s="13" t="s">
        <v>3461</v>
      </c>
      <c r="X120" s="13">
        <v>2659</v>
      </c>
      <c r="Y120" s="60">
        <v>93002.37</v>
      </c>
      <c r="Z120" s="60">
        <v>92798.68</v>
      </c>
      <c r="AA120" s="2" t="s">
        <v>3741</v>
      </c>
      <c r="AB120" s="66"/>
      <c r="AC120" s="66"/>
      <c r="AD120" s="66"/>
      <c r="AE120" s="66"/>
      <c r="AF120" s="66"/>
      <c r="AG120" s="66"/>
      <c r="AH120" s="43"/>
      <c r="AI120" s="43"/>
      <c r="AJ120" s="2"/>
      <c r="AK120" s="1"/>
      <c r="AL120" s="1"/>
      <c r="AM120" s="1"/>
      <c r="AN120" s="44">
        <f t="shared" si="2"/>
        <v>0</v>
      </c>
      <c r="AO120" s="45">
        <f t="shared" si="3"/>
        <v>0</v>
      </c>
      <c r="AP120" s="2" t="s">
        <v>2457</v>
      </c>
    </row>
    <row r="121" spans="1:42" ht="12.75">
      <c r="A121" s="2">
        <v>96</v>
      </c>
      <c r="B121" s="2">
        <v>98</v>
      </c>
      <c r="C121" s="2" t="s">
        <v>78</v>
      </c>
      <c r="D121" s="2" t="s">
        <v>6</v>
      </c>
      <c r="E121" s="2">
        <v>3</v>
      </c>
      <c r="F121" s="13" t="s">
        <v>1497</v>
      </c>
      <c r="G121" s="13" t="s">
        <v>1498</v>
      </c>
      <c r="H121" s="2" t="s">
        <v>2510</v>
      </c>
      <c r="I121" s="1" t="s">
        <v>4166</v>
      </c>
      <c r="J121" s="1" t="s">
        <v>4127</v>
      </c>
      <c r="K121" s="63">
        <v>29104391</v>
      </c>
      <c r="L121" s="1" t="s">
        <v>2438</v>
      </c>
      <c r="M121" s="1">
        <v>3447000</v>
      </c>
      <c r="N121" s="1" t="s">
        <v>3735</v>
      </c>
      <c r="O121" s="1" t="s">
        <v>4181</v>
      </c>
      <c r="P121" s="1">
        <v>3428</v>
      </c>
      <c r="Q121" s="64">
        <v>43073</v>
      </c>
      <c r="R121" s="64">
        <v>46724</v>
      </c>
      <c r="S121" s="62" t="s">
        <v>2440</v>
      </c>
      <c r="T121" s="1" t="s">
        <v>2442</v>
      </c>
      <c r="U121" s="9" t="s">
        <v>2447</v>
      </c>
      <c r="V121" s="13" t="s">
        <v>3462</v>
      </c>
      <c r="W121" s="13" t="s">
        <v>3463</v>
      </c>
      <c r="X121" s="13">
        <v>2656</v>
      </c>
      <c r="Y121" s="60">
        <v>93028.49</v>
      </c>
      <c r="Z121" s="60">
        <v>92834.15</v>
      </c>
      <c r="AA121" s="2" t="s">
        <v>3741</v>
      </c>
      <c r="AB121" s="66"/>
      <c r="AC121" s="66"/>
      <c r="AD121" s="66"/>
      <c r="AE121" s="66"/>
      <c r="AF121" s="66"/>
      <c r="AG121" s="66"/>
      <c r="AH121" s="43"/>
      <c r="AI121" s="43"/>
      <c r="AJ121" s="2"/>
      <c r="AK121" s="1"/>
      <c r="AL121" s="1"/>
      <c r="AM121" s="1"/>
      <c r="AN121" s="44">
        <f t="shared" si="2"/>
        <v>0</v>
      </c>
      <c r="AO121" s="45">
        <f t="shared" si="3"/>
        <v>0</v>
      </c>
      <c r="AP121" s="2" t="s">
        <v>2457</v>
      </c>
    </row>
    <row r="122" spans="1:42" ht="12.75">
      <c r="A122" s="2">
        <v>97</v>
      </c>
      <c r="B122" s="2">
        <v>99</v>
      </c>
      <c r="C122" s="2" t="s">
        <v>78</v>
      </c>
      <c r="D122" s="2" t="s">
        <v>6</v>
      </c>
      <c r="E122" s="2">
        <v>3</v>
      </c>
      <c r="F122" s="13" t="s">
        <v>1499</v>
      </c>
      <c r="G122" s="13" t="s">
        <v>1498</v>
      </c>
      <c r="H122" s="2" t="s">
        <v>2510</v>
      </c>
      <c r="I122" s="1" t="s">
        <v>4166</v>
      </c>
      <c r="J122" s="1" t="s">
        <v>4127</v>
      </c>
      <c r="K122" s="63">
        <v>29104391</v>
      </c>
      <c r="L122" s="1" t="s">
        <v>2438</v>
      </c>
      <c r="M122" s="1">
        <v>3447000</v>
      </c>
      <c r="N122" s="1" t="s">
        <v>3735</v>
      </c>
      <c r="O122" s="1" t="s">
        <v>4181</v>
      </c>
      <c r="P122" s="1">
        <v>3428</v>
      </c>
      <c r="Q122" s="64">
        <v>43073</v>
      </c>
      <c r="R122" s="64">
        <v>46724</v>
      </c>
      <c r="S122" s="62" t="s">
        <v>2440</v>
      </c>
      <c r="T122" s="1" t="s">
        <v>2442</v>
      </c>
      <c r="U122" s="9" t="s">
        <v>2447</v>
      </c>
      <c r="V122" s="13" t="s">
        <v>3464</v>
      </c>
      <c r="W122" s="13" t="s">
        <v>3463</v>
      </c>
      <c r="X122" s="13">
        <v>2656</v>
      </c>
      <c r="Y122" s="60">
        <v>93027.88</v>
      </c>
      <c r="Z122" s="60">
        <v>92834.15</v>
      </c>
      <c r="AA122" s="2" t="s">
        <v>3741</v>
      </c>
      <c r="AB122" s="66"/>
      <c r="AC122" s="66"/>
      <c r="AD122" s="66"/>
      <c r="AE122" s="66"/>
      <c r="AF122" s="66"/>
      <c r="AG122" s="66"/>
      <c r="AH122" s="43"/>
      <c r="AI122" s="43"/>
      <c r="AJ122" s="2"/>
      <c r="AK122" s="1"/>
      <c r="AL122" s="1"/>
      <c r="AM122" s="1"/>
      <c r="AN122" s="44">
        <f t="shared" si="2"/>
        <v>0</v>
      </c>
      <c r="AO122" s="45">
        <f t="shared" si="3"/>
        <v>0</v>
      </c>
      <c r="AP122" s="2" t="s">
        <v>2457</v>
      </c>
    </row>
    <row r="123" spans="1:42" ht="12.75">
      <c r="A123" s="2">
        <v>98</v>
      </c>
      <c r="B123" s="2">
        <v>100</v>
      </c>
      <c r="C123" s="1" t="s">
        <v>78</v>
      </c>
      <c r="D123" s="1" t="s">
        <v>6</v>
      </c>
      <c r="E123" s="1">
        <v>3</v>
      </c>
      <c r="F123" s="1" t="s">
        <v>1500</v>
      </c>
      <c r="G123" s="2" t="s">
        <v>1501</v>
      </c>
      <c r="H123" s="2" t="s">
        <v>2510</v>
      </c>
      <c r="I123" s="1" t="s">
        <v>4166</v>
      </c>
      <c r="J123" s="1" t="s">
        <v>4127</v>
      </c>
      <c r="K123" s="63">
        <v>29104391</v>
      </c>
      <c r="L123" s="1" t="s">
        <v>2438</v>
      </c>
      <c r="M123" s="1">
        <v>3447000</v>
      </c>
      <c r="N123" s="1" t="s">
        <v>3735</v>
      </c>
      <c r="O123" s="1" t="s">
        <v>4181</v>
      </c>
      <c r="P123" s="1">
        <v>3428</v>
      </c>
      <c r="Q123" s="64">
        <v>43073</v>
      </c>
      <c r="R123" s="64">
        <v>46724</v>
      </c>
      <c r="S123" s="62" t="s">
        <v>2440</v>
      </c>
      <c r="T123" s="1" t="s">
        <v>2442</v>
      </c>
      <c r="U123" s="9" t="s">
        <v>2444</v>
      </c>
      <c r="V123" s="13" t="s">
        <v>3465</v>
      </c>
      <c r="W123" s="13" t="s">
        <v>3466</v>
      </c>
      <c r="X123" s="13">
        <v>2647</v>
      </c>
      <c r="Y123" s="60">
        <v>93132.67</v>
      </c>
      <c r="Z123" s="60">
        <v>92932.21</v>
      </c>
      <c r="AA123" s="2" t="s">
        <v>3741</v>
      </c>
      <c r="AB123" s="66"/>
      <c r="AC123" s="66"/>
      <c r="AD123" s="93"/>
      <c r="AE123" s="93"/>
      <c r="AF123" s="93"/>
      <c r="AG123" s="93"/>
      <c r="AH123" s="93"/>
      <c r="AI123" s="93"/>
      <c r="AJ123" s="93"/>
      <c r="AK123" s="93"/>
      <c r="AL123" s="93"/>
      <c r="AM123" s="93"/>
      <c r="AN123" s="117">
        <f t="shared" si="2"/>
        <v>0</v>
      </c>
      <c r="AO123" s="118">
        <f t="shared" si="3"/>
        <v>0</v>
      </c>
      <c r="AP123" s="13" t="s">
        <v>2457</v>
      </c>
    </row>
    <row r="124" spans="1:42" ht="47.25" customHeight="1">
      <c r="A124" s="2">
        <v>99</v>
      </c>
      <c r="B124" s="2">
        <v>101</v>
      </c>
      <c r="C124" s="1" t="s">
        <v>78</v>
      </c>
      <c r="D124" s="1" t="s">
        <v>6</v>
      </c>
      <c r="E124" s="1">
        <v>3</v>
      </c>
      <c r="F124" s="1" t="s">
        <v>1502</v>
      </c>
      <c r="G124" s="2" t="s">
        <v>1503</v>
      </c>
      <c r="H124" s="2" t="s">
        <v>2510</v>
      </c>
      <c r="I124" s="1" t="s">
        <v>4166</v>
      </c>
      <c r="J124" s="1" t="s">
        <v>4127</v>
      </c>
      <c r="K124" s="63">
        <v>29104391</v>
      </c>
      <c r="L124" s="1" t="s">
        <v>2438</v>
      </c>
      <c r="M124" s="1">
        <v>3447000</v>
      </c>
      <c r="N124" s="1" t="s">
        <v>3735</v>
      </c>
      <c r="O124" s="1" t="s">
        <v>4181</v>
      </c>
      <c r="P124" s="1">
        <v>3428</v>
      </c>
      <c r="Q124" s="64">
        <v>43073</v>
      </c>
      <c r="R124" s="64">
        <v>46724</v>
      </c>
      <c r="S124" s="62" t="s">
        <v>2440</v>
      </c>
      <c r="T124" s="1" t="s">
        <v>2442</v>
      </c>
      <c r="U124" s="9" t="s">
        <v>2444</v>
      </c>
      <c r="V124" s="13" t="s">
        <v>3467</v>
      </c>
      <c r="W124" s="13" t="s">
        <v>3468</v>
      </c>
      <c r="X124" s="13">
        <v>2638</v>
      </c>
      <c r="Y124" s="60">
        <v>93241.14</v>
      </c>
      <c r="Z124" s="60">
        <v>93041.99</v>
      </c>
      <c r="AA124" s="2" t="s">
        <v>3811</v>
      </c>
      <c r="AB124" s="104">
        <v>43745</v>
      </c>
      <c r="AC124" s="135">
        <v>0.5326388888888889</v>
      </c>
      <c r="AD124" s="93"/>
      <c r="AE124" s="93"/>
      <c r="AF124" s="93"/>
      <c r="AG124" s="93"/>
      <c r="AH124" s="93"/>
      <c r="AI124" s="93"/>
      <c r="AJ124" s="93"/>
      <c r="AK124" s="93"/>
      <c r="AL124" s="93"/>
      <c r="AM124" s="93"/>
      <c r="AN124" s="117">
        <f t="shared" si="2"/>
        <v>0</v>
      </c>
      <c r="AO124" s="118">
        <f t="shared" si="3"/>
        <v>0</v>
      </c>
      <c r="AP124" s="13" t="s">
        <v>2457</v>
      </c>
    </row>
    <row r="125" spans="1:42" ht="54" customHeight="1">
      <c r="A125" s="2"/>
      <c r="B125" s="2">
        <v>102</v>
      </c>
      <c r="C125" s="1" t="s">
        <v>78</v>
      </c>
      <c r="D125" s="1" t="s">
        <v>6</v>
      </c>
      <c r="E125" s="1">
        <v>3</v>
      </c>
      <c r="F125" s="1" t="s">
        <v>3817</v>
      </c>
      <c r="G125" s="2" t="s">
        <v>3819</v>
      </c>
      <c r="H125" s="2" t="s">
        <v>2510</v>
      </c>
      <c r="I125" s="1" t="s">
        <v>4166</v>
      </c>
      <c r="J125" s="1" t="s">
        <v>4127</v>
      </c>
      <c r="K125" s="63">
        <v>29104391</v>
      </c>
      <c r="L125" s="1" t="s">
        <v>2438</v>
      </c>
      <c r="M125" s="1">
        <v>3447000</v>
      </c>
      <c r="N125" s="1" t="s">
        <v>3735</v>
      </c>
      <c r="O125" s="1" t="s">
        <v>4181</v>
      </c>
      <c r="P125" s="1">
        <v>3428</v>
      </c>
      <c r="Q125" s="64">
        <v>43073</v>
      </c>
      <c r="R125" s="64">
        <v>46724</v>
      </c>
      <c r="S125" s="62" t="s">
        <v>2440</v>
      </c>
      <c r="T125" s="1" t="s">
        <v>2442</v>
      </c>
      <c r="U125" s="9" t="s">
        <v>2444</v>
      </c>
      <c r="V125" s="13" t="s">
        <v>3822</v>
      </c>
      <c r="W125" s="13" t="s">
        <v>3823</v>
      </c>
      <c r="X125" s="13"/>
      <c r="Y125" s="60"/>
      <c r="Z125" s="60"/>
      <c r="AA125" s="2" t="s">
        <v>4109</v>
      </c>
      <c r="AB125" s="104">
        <v>43713</v>
      </c>
      <c r="AC125" s="82" t="s">
        <v>3751</v>
      </c>
      <c r="AD125" s="82">
        <v>110</v>
      </c>
      <c r="AE125" s="82">
        <v>58.5</v>
      </c>
      <c r="AF125" s="82">
        <v>0.7</v>
      </c>
      <c r="AG125" s="82">
        <v>24</v>
      </c>
      <c r="AH125" s="102">
        <f>AF125*AD125*AG125*0.0036</f>
        <v>6.6528</v>
      </c>
      <c r="AI125" s="102">
        <f>AF125*AE125*AG125*0.0036</f>
        <v>3.53808</v>
      </c>
      <c r="AJ125" s="82">
        <v>30</v>
      </c>
      <c r="AK125" s="82">
        <v>12</v>
      </c>
      <c r="AL125" s="82">
        <v>0.61</v>
      </c>
      <c r="AM125" s="82">
        <v>0.74</v>
      </c>
      <c r="AN125" s="44">
        <f>AH125*AJ125*AK125*AL125</f>
        <v>1460.9548799999998</v>
      </c>
      <c r="AO125" s="45">
        <f>AI125*AJ125*AK125*AM125</f>
        <v>942.5445119999999</v>
      </c>
      <c r="AP125" s="13" t="s">
        <v>2457</v>
      </c>
    </row>
    <row r="126" spans="1:42" ht="58.5" customHeight="1">
      <c r="A126" s="2"/>
      <c r="B126" s="2">
        <v>103</v>
      </c>
      <c r="C126" s="1" t="s">
        <v>78</v>
      </c>
      <c r="D126" s="1" t="s">
        <v>6</v>
      </c>
      <c r="E126" s="1">
        <v>3</v>
      </c>
      <c r="F126" s="1" t="s">
        <v>3818</v>
      </c>
      <c r="G126" s="2" t="s">
        <v>3819</v>
      </c>
      <c r="H126" s="2" t="s">
        <v>2510</v>
      </c>
      <c r="I126" s="1" t="s">
        <v>4166</v>
      </c>
      <c r="J126" s="1" t="s">
        <v>4127</v>
      </c>
      <c r="K126" s="63">
        <v>29104391</v>
      </c>
      <c r="L126" s="1" t="s">
        <v>2438</v>
      </c>
      <c r="M126" s="1">
        <v>3447000</v>
      </c>
      <c r="N126" s="1" t="s">
        <v>3735</v>
      </c>
      <c r="O126" s="1" t="s">
        <v>4181</v>
      </c>
      <c r="P126" s="1">
        <v>3428</v>
      </c>
      <c r="Q126" s="64">
        <v>43073</v>
      </c>
      <c r="R126" s="64">
        <v>46724</v>
      </c>
      <c r="S126" s="62" t="s">
        <v>2440</v>
      </c>
      <c r="T126" s="1" t="s">
        <v>2442</v>
      </c>
      <c r="U126" s="9" t="s">
        <v>2444</v>
      </c>
      <c r="V126" s="13" t="s">
        <v>3820</v>
      </c>
      <c r="W126" s="13" t="s">
        <v>3821</v>
      </c>
      <c r="X126" s="13"/>
      <c r="Y126" s="60"/>
      <c r="Z126" s="60"/>
      <c r="AA126" s="2" t="s">
        <v>4110</v>
      </c>
      <c r="AB126" s="104">
        <v>43713</v>
      </c>
      <c r="AC126" s="82" t="s">
        <v>2406</v>
      </c>
      <c r="AD126" s="82">
        <v>360</v>
      </c>
      <c r="AE126" s="82">
        <v>304</v>
      </c>
      <c r="AF126" s="82">
        <v>0.352</v>
      </c>
      <c r="AG126" s="82">
        <v>24</v>
      </c>
      <c r="AH126" s="102">
        <f>AF126*AD126*AG126*0.0036</f>
        <v>10.948607999999998</v>
      </c>
      <c r="AI126" s="102">
        <f>AF126*AE126*AG126*0.0036</f>
        <v>9.2454912</v>
      </c>
      <c r="AJ126" s="82">
        <v>30</v>
      </c>
      <c r="AK126" s="82">
        <v>12</v>
      </c>
      <c r="AL126" s="82">
        <v>0.61</v>
      </c>
      <c r="AM126" s="82">
        <v>0.74</v>
      </c>
      <c r="AN126" s="44">
        <f>AH126*AJ126*AK126*AL126</f>
        <v>2404.3143167999992</v>
      </c>
      <c r="AO126" s="45">
        <f>AI126*AJ126*AK126*AM126</f>
        <v>2462.99885568</v>
      </c>
      <c r="AP126" s="13" t="s">
        <v>2457</v>
      </c>
    </row>
    <row r="127" spans="1:42" ht="42.75" customHeight="1">
      <c r="A127" s="2">
        <v>100</v>
      </c>
      <c r="B127" s="2">
        <v>104</v>
      </c>
      <c r="C127" s="1" t="s">
        <v>78</v>
      </c>
      <c r="D127" s="1" t="s">
        <v>6</v>
      </c>
      <c r="E127" s="13">
        <v>3</v>
      </c>
      <c r="F127" s="13" t="s">
        <v>1504</v>
      </c>
      <c r="G127" s="2" t="s">
        <v>1503</v>
      </c>
      <c r="H127" s="2" t="s">
        <v>2510</v>
      </c>
      <c r="I127" s="1" t="s">
        <v>4166</v>
      </c>
      <c r="J127" s="1" t="s">
        <v>4127</v>
      </c>
      <c r="K127" s="63">
        <v>29104391</v>
      </c>
      <c r="L127" s="1" t="s">
        <v>2438</v>
      </c>
      <c r="M127" s="1">
        <v>3447000</v>
      </c>
      <c r="N127" s="1" t="s">
        <v>3735</v>
      </c>
      <c r="O127" s="1" t="s">
        <v>4181</v>
      </c>
      <c r="P127" s="1">
        <v>3428</v>
      </c>
      <c r="Q127" s="64">
        <v>43073</v>
      </c>
      <c r="R127" s="64">
        <v>46724</v>
      </c>
      <c r="S127" s="62" t="s">
        <v>2440</v>
      </c>
      <c r="T127" s="29" t="s">
        <v>2441</v>
      </c>
      <c r="U127" s="9" t="s">
        <v>2447</v>
      </c>
      <c r="V127" s="13" t="s">
        <v>3469</v>
      </c>
      <c r="W127" s="13" t="s">
        <v>3470</v>
      </c>
      <c r="X127" s="13">
        <v>2637</v>
      </c>
      <c r="Y127" s="60">
        <v>93277.1</v>
      </c>
      <c r="Z127" s="60">
        <v>93066.05</v>
      </c>
      <c r="AA127" s="2" t="s">
        <v>3811</v>
      </c>
      <c r="AB127" s="67">
        <v>43745</v>
      </c>
      <c r="AC127" s="50">
        <v>0.5215277777777778</v>
      </c>
      <c r="AD127" s="93"/>
      <c r="AE127" s="93"/>
      <c r="AF127" s="93"/>
      <c r="AG127" s="93"/>
      <c r="AH127" s="93"/>
      <c r="AI127" s="93"/>
      <c r="AJ127" s="93"/>
      <c r="AK127" s="93"/>
      <c r="AL127" s="93"/>
      <c r="AM127" s="93"/>
      <c r="AN127" s="117">
        <f t="shared" si="2"/>
        <v>0</v>
      </c>
      <c r="AO127" s="118">
        <f t="shared" si="3"/>
        <v>0</v>
      </c>
      <c r="AP127" s="13" t="s">
        <v>2457</v>
      </c>
    </row>
    <row r="128" spans="1:42" ht="66" customHeight="1">
      <c r="A128" s="2">
        <v>101</v>
      </c>
      <c r="B128" s="2">
        <v>105</v>
      </c>
      <c r="C128" s="1" t="s">
        <v>78</v>
      </c>
      <c r="D128" s="1" t="s">
        <v>6</v>
      </c>
      <c r="E128" s="13">
        <v>3</v>
      </c>
      <c r="F128" s="13" t="s">
        <v>1505</v>
      </c>
      <c r="G128" s="2" t="s">
        <v>1506</v>
      </c>
      <c r="H128" s="2" t="s">
        <v>2510</v>
      </c>
      <c r="I128" s="1" t="s">
        <v>4166</v>
      </c>
      <c r="J128" s="1" t="s">
        <v>4127</v>
      </c>
      <c r="K128" s="63">
        <v>29104391</v>
      </c>
      <c r="L128" s="1" t="s">
        <v>2438</v>
      </c>
      <c r="M128" s="1">
        <v>3447000</v>
      </c>
      <c r="N128" s="1" t="s">
        <v>3735</v>
      </c>
      <c r="O128" s="1" t="s">
        <v>4181</v>
      </c>
      <c r="P128" s="1">
        <v>3428</v>
      </c>
      <c r="Q128" s="64">
        <v>43073</v>
      </c>
      <c r="R128" s="64">
        <v>46724</v>
      </c>
      <c r="S128" s="62" t="s">
        <v>2440</v>
      </c>
      <c r="T128" s="29" t="s">
        <v>2441</v>
      </c>
      <c r="U128" s="9" t="s">
        <v>2445</v>
      </c>
      <c r="V128" s="13" t="s">
        <v>3471</v>
      </c>
      <c r="W128" s="13" t="s">
        <v>3472</v>
      </c>
      <c r="X128" s="13">
        <v>2633</v>
      </c>
      <c r="Y128" s="60">
        <v>93348.08</v>
      </c>
      <c r="Z128" s="60">
        <v>93108.91</v>
      </c>
      <c r="AA128" s="2" t="s">
        <v>4041</v>
      </c>
      <c r="AB128" s="67">
        <v>43748</v>
      </c>
      <c r="AC128" s="50">
        <v>0.45625</v>
      </c>
      <c r="AD128" s="66"/>
      <c r="AE128" s="66"/>
      <c r="AF128" s="66"/>
      <c r="AG128" s="66"/>
      <c r="AH128" s="43"/>
      <c r="AI128" s="43"/>
      <c r="AJ128" s="2"/>
      <c r="AK128" s="1"/>
      <c r="AL128" s="1"/>
      <c r="AM128" s="1"/>
      <c r="AN128" s="117">
        <v>10426.214486383353</v>
      </c>
      <c r="AO128" s="118">
        <v>573313.9151484182</v>
      </c>
      <c r="AP128" s="13" t="s">
        <v>2457</v>
      </c>
    </row>
    <row r="129" spans="1:42" ht="32.25" customHeight="1">
      <c r="A129" s="2">
        <v>102</v>
      </c>
      <c r="B129" s="2">
        <v>106</v>
      </c>
      <c r="C129" s="1" t="s">
        <v>78</v>
      </c>
      <c r="D129" s="1" t="s">
        <v>6</v>
      </c>
      <c r="E129" s="13">
        <v>3</v>
      </c>
      <c r="F129" s="13" t="s">
        <v>1507</v>
      </c>
      <c r="G129" s="2" t="s">
        <v>1508</v>
      </c>
      <c r="H129" s="2" t="s">
        <v>2510</v>
      </c>
      <c r="I129" s="1" t="s">
        <v>4166</v>
      </c>
      <c r="J129" s="1" t="s">
        <v>4127</v>
      </c>
      <c r="K129" s="63">
        <v>29104391</v>
      </c>
      <c r="L129" s="1" t="s">
        <v>2438</v>
      </c>
      <c r="M129" s="1">
        <v>3447000</v>
      </c>
      <c r="N129" s="1" t="s">
        <v>3735</v>
      </c>
      <c r="O129" s="1" t="s">
        <v>4181</v>
      </c>
      <c r="P129" s="1">
        <v>3428</v>
      </c>
      <c r="Q129" s="64">
        <v>43073</v>
      </c>
      <c r="R129" s="64">
        <v>46724</v>
      </c>
      <c r="S129" s="62" t="s">
        <v>2440</v>
      </c>
      <c r="T129" s="29" t="s">
        <v>2441</v>
      </c>
      <c r="U129" s="9" t="s">
        <v>2444</v>
      </c>
      <c r="V129" s="13" t="s">
        <v>3473</v>
      </c>
      <c r="W129" s="13" t="s">
        <v>3474</v>
      </c>
      <c r="X129" s="13">
        <v>2630</v>
      </c>
      <c r="Y129" s="60">
        <v>93396.02</v>
      </c>
      <c r="Z129" s="60">
        <v>93132.35</v>
      </c>
      <c r="AA129" s="2" t="s">
        <v>3825</v>
      </c>
      <c r="AB129" s="67">
        <v>43745</v>
      </c>
      <c r="AC129" s="2" t="s">
        <v>2461</v>
      </c>
      <c r="AD129" s="82">
        <v>71</v>
      </c>
      <c r="AE129" s="82">
        <v>93</v>
      </c>
      <c r="AF129" s="82">
        <v>0.267</v>
      </c>
      <c r="AG129" s="82">
        <v>24</v>
      </c>
      <c r="AH129" s="133">
        <f>AF129*AD129*AG129*0.0036</f>
        <v>1.6378848</v>
      </c>
      <c r="AI129" s="133">
        <f>AF129*AE129*AG129*0.0036</f>
        <v>2.1453984000000004</v>
      </c>
      <c r="AJ129" s="82">
        <v>30</v>
      </c>
      <c r="AK129" s="82">
        <v>12</v>
      </c>
      <c r="AL129" s="82">
        <v>0.62</v>
      </c>
      <c r="AM129" s="82">
        <v>0.76</v>
      </c>
      <c r="AN129" s="117">
        <f>AH129*AJ129*AK129*AL129</f>
        <v>365.57588735999997</v>
      </c>
      <c r="AO129" s="118">
        <f t="shared" si="3"/>
        <v>586.9810022400001</v>
      </c>
      <c r="AP129" s="13" t="s">
        <v>2457</v>
      </c>
    </row>
    <row r="130" spans="1:42" ht="12.75">
      <c r="A130" s="2">
        <v>103</v>
      </c>
      <c r="B130" s="2">
        <v>107</v>
      </c>
      <c r="C130" s="1" t="s">
        <v>78</v>
      </c>
      <c r="D130" s="1" t="s">
        <v>6</v>
      </c>
      <c r="E130" s="13">
        <v>3</v>
      </c>
      <c r="F130" s="13" t="s">
        <v>1509</v>
      </c>
      <c r="G130" s="2" t="s">
        <v>1510</v>
      </c>
      <c r="H130" s="2" t="s">
        <v>2510</v>
      </c>
      <c r="I130" s="1" t="s">
        <v>4166</v>
      </c>
      <c r="J130" s="1" t="s">
        <v>4127</v>
      </c>
      <c r="K130" s="63">
        <v>29104391</v>
      </c>
      <c r="L130" s="1" t="s">
        <v>2438</v>
      </c>
      <c r="M130" s="1">
        <v>3447000</v>
      </c>
      <c r="N130" s="1" t="s">
        <v>3735</v>
      </c>
      <c r="O130" s="1" t="s">
        <v>4181</v>
      </c>
      <c r="P130" s="1">
        <v>3428</v>
      </c>
      <c r="Q130" s="64">
        <v>43073</v>
      </c>
      <c r="R130" s="64">
        <v>46724</v>
      </c>
      <c r="S130" s="62" t="s">
        <v>2440</v>
      </c>
      <c r="T130" s="29" t="s">
        <v>2441</v>
      </c>
      <c r="U130" s="9" t="s">
        <v>2447</v>
      </c>
      <c r="V130" s="13" t="s">
        <v>3473</v>
      </c>
      <c r="W130" s="13" t="s">
        <v>3474</v>
      </c>
      <c r="X130" s="13">
        <v>2630</v>
      </c>
      <c r="Y130" s="60">
        <v>93396.02</v>
      </c>
      <c r="Z130" s="60">
        <v>93132.35</v>
      </c>
      <c r="AA130" s="2" t="s">
        <v>3741</v>
      </c>
      <c r="AB130" s="66"/>
      <c r="AC130" s="66"/>
      <c r="AD130" s="82"/>
      <c r="AE130" s="82"/>
      <c r="AF130" s="82"/>
      <c r="AG130" s="82"/>
      <c r="AH130" s="82"/>
      <c r="AI130" s="82"/>
      <c r="AJ130" s="82"/>
      <c r="AK130" s="82"/>
      <c r="AL130" s="82"/>
      <c r="AM130" s="82"/>
      <c r="AN130" s="117">
        <f t="shared" si="2"/>
        <v>0</v>
      </c>
      <c r="AO130" s="118">
        <f t="shared" si="3"/>
        <v>0</v>
      </c>
      <c r="AP130" s="13" t="s">
        <v>2457</v>
      </c>
    </row>
    <row r="131" spans="1:42" ht="42.75" customHeight="1">
      <c r="A131" s="2">
        <v>104</v>
      </c>
      <c r="B131" s="2">
        <v>108</v>
      </c>
      <c r="C131" s="1" t="s">
        <v>78</v>
      </c>
      <c r="D131" s="1" t="s">
        <v>6</v>
      </c>
      <c r="E131" s="13">
        <v>3</v>
      </c>
      <c r="F131" s="13" t="s">
        <v>1511</v>
      </c>
      <c r="G131" s="2" t="s">
        <v>1510</v>
      </c>
      <c r="H131" s="2" t="s">
        <v>2510</v>
      </c>
      <c r="I131" s="1" t="s">
        <v>4166</v>
      </c>
      <c r="J131" s="1" t="s">
        <v>4127</v>
      </c>
      <c r="K131" s="63">
        <v>29104391</v>
      </c>
      <c r="L131" s="1" t="s">
        <v>2438</v>
      </c>
      <c r="M131" s="1">
        <v>3447000</v>
      </c>
      <c r="N131" s="1" t="s">
        <v>3735</v>
      </c>
      <c r="O131" s="1" t="s">
        <v>4181</v>
      </c>
      <c r="P131" s="1">
        <v>3428</v>
      </c>
      <c r="Q131" s="64">
        <v>43073</v>
      </c>
      <c r="R131" s="64">
        <v>46724</v>
      </c>
      <c r="S131" s="62" t="s">
        <v>2440</v>
      </c>
      <c r="T131" s="1" t="s">
        <v>2442</v>
      </c>
      <c r="U131" s="9" t="s">
        <v>2444</v>
      </c>
      <c r="V131" s="13" t="s">
        <v>3475</v>
      </c>
      <c r="W131" s="13" t="s">
        <v>3476</v>
      </c>
      <c r="X131" s="13">
        <v>2630</v>
      </c>
      <c r="Y131" s="60">
        <v>93395.71</v>
      </c>
      <c r="Z131" s="60">
        <v>93119.4</v>
      </c>
      <c r="AA131" s="2" t="s">
        <v>4059</v>
      </c>
      <c r="AB131" s="104">
        <v>43713</v>
      </c>
      <c r="AC131" s="82" t="s">
        <v>3775</v>
      </c>
      <c r="AD131" s="82">
        <v>200</v>
      </c>
      <c r="AE131" s="82">
        <v>60</v>
      </c>
      <c r="AF131" s="82">
        <v>0.458</v>
      </c>
      <c r="AG131" s="82">
        <v>24</v>
      </c>
      <c r="AH131" s="133">
        <f>AF131*AD131*AG131*0.0036</f>
        <v>7.91424</v>
      </c>
      <c r="AI131" s="133">
        <f>AF131*AE131*AG131*0.0036</f>
        <v>2.374272</v>
      </c>
      <c r="AJ131" s="82">
        <v>30</v>
      </c>
      <c r="AK131" s="82">
        <v>12</v>
      </c>
      <c r="AL131" s="82">
        <v>0.7</v>
      </c>
      <c r="AM131" s="13">
        <v>0.58</v>
      </c>
      <c r="AN131" s="117">
        <f>AH131*AJ131*AK131*AL131</f>
        <v>1994.3884799999998</v>
      </c>
      <c r="AO131" s="118">
        <f>AI131*AJ131*AK131*AM131</f>
        <v>495.7479936</v>
      </c>
      <c r="AP131" s="13" t="s">
        <v>2457</v>
      </c>
    </row>
    <row r="132" spans="1:42" ht="25.5">
      <c r="A132" s="2">
        <v>105</v>
      </c>
      <c r="B132" s="2">
        <v>109</v>
      </c>
      <c r="C132" s="2" t="s">
        <v>1512</v>
      </c>
      <c r="D132" s="2" t="s">
        <v>6</v>
      </c>
      <c r="E132" s="2">
        <v>3</v>
      </c>
      <c r="F132" s="2" t="s">
        <v>1513</v>
      </c>
      <c r="G132" s="2" t="s">
        <v>1514</v>
      </c>
      <c r="H132" s="2" t="s">
        <v>2510</v>
      </c>
      <c r="I132" s="1" t="s">
        <v>4166</v>
      </c>
      <c r="J132" s="1" t="s">
        <v>4127</v>
      </c>
      <c r="K132" s="63">
        <v>29104391</v>
      </c>
      <c r="L132" s="1" t="s">
        <v>2438</v>
      </c>
      <c r="M132" s="1">
        <v>3447000</v>
      </c>
      <c r="N132" s="1" t="s">
        <v>3735</v>
      </c>
      <c r="O132" s="1" t="s">
        <v>4181</v>
      </c>
      <c r="P132" s="1">
        <v>3428</v>
      </c>
      <c r="Q132" s="64">
        <v>43073</v>
      </c>
      <c r="R132" s="64">
        <v>46724</v>
      </c>
      <c r="S132" s="62" t="s">
        <v>2440</v>
      </c>
      <c r="T132" s="29" t="s">
        <v>2442</v>
      </c>
      <c r="U132" s="9" t="s">
        <v>2443</v>
      </c>
      <c r="V132" s="13" t="s">
        <v>3477</v>
      </c>
      <c r="W132" s="13" t="s">
        <v>3478</v>
      </c>
      <c r="X132" s="13">
        <v>2627</v>
      </c>
      <c r="Y132" s="60">
        <v>93502.041</v>
      </c>
      <c r="Z132" s="60">
        <v>93144.38</v>
      </c>
      <c r="AA132" s="2" t="s">
        <v>3741</v>
      </c>
      <c r="AB132" s="66"/>
      <c r="AC132" s="66"/>
      <c r="AD132" s="66"/>
      <c r="AE132" s="66"/>
      <c r="AF132" s="66"/>
      <c r="AG132" s="66"/>
      <c r="AH132" s="43"/>
      <c r="AI132" s="43"/>
      <c r="AJ132" s="2"/>
      <c r="AK132" s="1"/>
      <c r="AL132" s="1"/>
      <c r="AM132" s="1"/>
      <c r="AN132" s="44">
        <f t="shared" si="2"/>
        <v>0</v>
      </c>
      <c r="AO132" s="45">
        <f t="shared" si="3"/>
        <v>0</v>
      </c>
      <c r="AP132" s="66"/>
    </row>
    <row r="133" spans="1:42" ht="12.75">
      <c r="A133" s="2">
        <v>106</v>
      </c>
      <c r="B133" s="2">
        <v>110</v>
      </c>
      <c r="C133" s="2" t="s">
        <v>78</v>
      </c>
      <c r="D133" s="2" t="s">
        <v>6</v>
      </c>
      <c r="E133" s="2">
        <v>3</v>
      </c>
      <c r="F133" s="13" t="s">
        <v>1515</v>
      </c>
      <c r="G133" s="13" t="s">
        <v>1516</v>
      </c>
      <c r="H133" s="2" t="s">
        <v>2510</v>
      </c>
      <c r="I133" s="1" t="s">
        <v>4166</v>
      </c>
      <c r="J133" s="1" t="s">
        <v>4127</v>
      </c>
      <c r="K133" s="63">
        <v>29104391</v>
      </c>
      <c r="L133" s="1" t="s">
        <v>2438</v>
      </c>
      <c r="M133" s="1">
        <v>3447000</v>
      </c>
      <c r="N133" s="1" t="s">
        <v>3735</v>
      </c>
      <c r="O133" s="1" t="s">
        <v>4181</v>
      </c>
      <c r="P133" s="1">
        <v>3428</v>
      </c>
      <c r="Q133" s="64">
        <v>43073</v>
      </c>
      <c r="R133" s="64">
        <v>46724</v>
      </c>
      <c r="S133" s="62" t="s">
        <v>2440</v>
      </c>
      <c r="T133" s="1" t="s">
        <v>2442</v>
      </c>
      <c r="U133" s="9" t="s">
        <v>2444</v>
      </c>
      <c r="V133" s="13" t="s">
        <v>3479</v>
      </c>
      <c r="W133" s="13" t="s">
        <v>3480</v>
      </c>
      <c r="X133" s="13">
        <v>2627</v>
      </c>
      <c r="Y133" s="60">
        <v>93510.64</v>
      </c>
      <c r="Z133" s="60">
        <v>93151.47</v>
      </c>
      <c r="AA133" s="2" t="s">
        <v>3741</v>
      </c>
      <c r="AB133" s="66"/>
      <c r="AC133" s="66"/>
      <c r="AD133" s="66"/>
      <c r="AE133" s="66"/>
      <c r="AF133" s="66"/>
      <c r="AG133" s="66"/>
      <c r="AH133" s="43"/>
      <c r="AI133" s="43"/>
      <c r="AJ133" s="2"/>
      <c r="AK133" s="1"/>
      <c r="AL133" s="1"/>
      <c r="AM133" s="1"/>
      <c r="AN133" s="44">
        <f t="shared" si="2"/>
        <v>0</v>
      </c>
      <c r="AO133" s="45">
        <f t="shared" si="3"/>
        <v>0</v>
      </c>
      <c r="AP133" s="13" t="s">
        <v>2457</v>
      </c>
    </row>
    <row r="134" spans="1:42" ht="12.75">
      <c r="A134" s="2">
        <v>107</v>
      </c>
      <c r="B134" s="2">
        <v>111</v>
      </c>
      <c r="C134" s="2" t="s">
        <v>78</v>
      </c>
      <c r="D134" s="2" t="s">
        <v>6</v>
      </c>
      <c r="E134" s="2">
        <v>3</v>
      </c>
      <c r="F134" s="13" t="s">
        <v>1517</v>
      </c>
      <c r="G134" s="13" t="s">
        <v>1518</v>
      </c>
      <c r="H134" s="2" t="s">
        <v>2510</v>
      </c>
      <c r="I134" s="1" t="s">
        <v>4166</v>
      </c>
      <c r="J134" s="1" t="s">
        <v>4127</v>
      </c>
      <c r="K134" s="63">
        <v>29104391</v>
      </c>
      <c r="L134" s="1" t="s">
        <v>2438</v>
      </c>
      <c r="M134" s="1">
        <v>3447000</v>
      </c>
      <c r="N134" s="1" t="s">
        <v>3735</v>
      </c>
      <c r="O134" s="1" t="s">
        <v>4181</v>
      </c>
      <c r="P134" s="1">
        <v>3428</v>
      </c>
      <c r="Q134" s="64">
        <v>43073</v>
      </c>
      <c r="R134" s="64">
        <v>46724</v>
      </c>
      <c r="S134" s="62" t="s">
        <v>2440</v>
      </c>
      <c r="T134" s="29" t="s">
        <v>2441</v>
      </c>
      <c r="U134" s="9" t="s">
        <v>2444</v>
      </c>
      <c r="V134" s="13" t="s">
        <v>3481</v>
      </c>
      <c r="W134" s="13" t="s">
        <v>3482</v>
      </c>
      <c r="X134" s="13">
        <v>2625</v>
      </c>
      <c r="Y134" s="60">
        <v>93591.77</v>
      </c>
      <c r="Z134" s="60">
        <v>93195.87</v>
      </c>
      <c r="AA134" s="2" t="s">
        <v>3741</v>
      </c>
      <c r="AB134" s="66"/>
      <c r="AC134" s="66"/>
      <c r="AD134" s="66"/>
      <c r="AE134" s="66"/>
      <c r="AF134" s="66"/>
      <c r="AG134" s="66"/>
      <c r="AH134" s="43"/>
      <c r="AI134" s="43"/>
      <c r="AJ134" s="2"/>
      <c r="AK134" s="1"/>
      <c r="AL134" s="1"/>
      <c r="AM134" s="1"/>
      <c r="AN134" s="44">
        <f t="shared" si="2"/>
        <v>0</v>
      </c>
      <c r="AO134" s="45">
        <f t="shared" si="3"/>
        <v>0</v>
      </c>
      <c r="AP134" s="13" t="s">
        <v>2457</v>
      </c>
    </row>
    <row r="135" spans="1:42" ht="60.75" customHeight="1">
      <c r="A135" s="2">
        <v>108</v>
      </c>
      <c r="B135" s="2">
        <v>112</v>
      </c>
      <c r="C135" s="1" t="s">
        <v>78</v>
      </c>
      <c r="D135" s="1" t="s">
        <v>6</v>
      </c>
      <c r="E135" s="13">
        <v>3</v>
      </c>
      <c r="F135" s="13" t="s">
        <v>1519</v>
      </c>
      <c r="G135" s="2" t="s">
        <v>1520</v>
      </c>
      <c r="H135" s="2" t="s">
        <v>2510</v>
      </c>
      <c r="I135" s="1" t="s">
        <v>4166</v>
      </c>
      <c r="J135" s="1" t="s">
        <v>4127</v>
      </c>
      <c r="K135" s="63">
        <v>29104391</v>
      </c>
      <c r="L135" s="1" t="s">
        <v>2438</v>
      </c>
      <c r="M135" s="1">
        <v>3447000</v>
      </c>
      <c r="N135" s="1" t="s">
        <v>3735</v>
      </c>
      <c r="O135" s="1" t="s">
        <v>4181</v>
      </c>
      <c r="P135" s="1">
        <v>3428</v>
      </c>
      <c r="Q135" s="64">
        <v>43073</v>
      </c>
      <c r="R135" s="64">
        <v>46724</v>
      </c>
      <c r="S135" s="62" t="s">
        <v>2440</v>
      </c>
      <c r="T135" s="29" t="s">
        <v>2441</v>
      </c>
      <c r="U135" s="9" t="s">
        <v>2444</v>
      </c>
      <c r="V135" s="13" t="s">
        <v>3483</v>
      </c>
      <c r="W135" s="13" t="s">
        <v>3484</v>
      </c>
      <c r="X135" s="13">
        <v>2623</v>
      </c>
      <c r="Y135" s="60">
        <v>93651.69</v>
      </c>
      <c r="Z135" s="60">
        <v>93234.11</v>
      </c>
      <c r="AA135" s="2" t="s">
        <v>4041</v>
      </c>
      <c r="AB135" s="67">
        <v>43748</v>
      </c>
      <c r="AC135" s="50">
        <v>0.46597222222222223</v>
      </c>
      <c r="AD135" s="69"/>
      <c r="AE135" s="69"/>
      <c r="AF135" s="69"/>
      <c r="AG135" s="69"/>
      <c r="AH135" s="43"/>
      <c r="AI135" s="43"/>
      <c r="AJ135" s="2"/>
      <c r="AK135" s="1"/>
      <c r="AL135" s="1"/>
      <c r="AM135" s="1"/>
      <c r="AN135" s="117">
        <v>2830.4608507296457</v>
      </c>
      <c r="AO135" s="118">
        <v>2581.6239219039926</v>
      </c>
      <c r="AP135" s="13" t="s">
        <v>2478</v>
      </c>
    </row>
    <row r="136" spans="1:42" ht="48.75" customHeight="1">
      <c r="A136" s="2">
        <v>109</v>
      </c>
      <c r="B136" s="2">
        <v>113</v>
      </c>
      <c r="C136" s="1" t="s">
        <v>78</v>
      </c>
      <c r="D136" s="1" t="s">
        <v>6</v>
      </c>
      <c r="E136" s="13">
        <v>3</v>
      </c>
      <c r="F136" s="13" t="s">
        <v>1521</v>
      </c>
      <c r="G136" s="2" t="s">
        <v>1522</v>
      </c>
      <c r="H136" s="2" t="s">
        <v>2510</v>
      </c>
      <c r="I136" s="1" t="s">
        <v>4166</v>
      </c>
      <c r="J136" s="1" t="s">
        <v>4127</v>
      </c>
      <c r="K136" s="63">
        <v>29104391</v>
      </c>
      <c r="L136" s="1" t="s">
        <v>2438</v>
      </c>
      <c r="M136" s="1">
        <v>3447000</v>
      </c>
      <c r="N136" s="1" t="s">
        <v>3735</v>
      </c>
      <c r="O136" s="1" t="s">
        <v>4181</v>
      </c>
      <c r="P136" s="1">
        <v>3428</v>
      </c>
      <c r="Q136" s="64">
        <v>43073</v>
      </c>
      <c r="R136" s="64">
        <v>46724</v>
      </c>
      <c r="S136" s="62" t="s">
        <v>2440</v>
      </c>
      <c r="T136" s="1" t="s">
        <v>2442</v>
      </c>
      <c r="U136" s="9" t="s">
        <v>2444</v>
      </c>
      <c r="V136" s="13" t="s">
        <v>3485</v>
      </c>
      <c r="W136" s="13" t="s">
        <v>3486</v>
      </c>
      <c r="X136" s="13">
        <v>2620</v>
      </c>
      <c r="Y136" s="60">
        <v>93704.54</v>
      </c>
      <c r="Z136" s="60">
        <v>93254.16</v>
      </c>
      <c r="AA136" s="2" t="s">
        <v>3826</v>
      </c>
      <c r="AB136" s="67">
        <v>43748</v>
      </c>
      <c r="AC136" s="50">
        <v>0.4770833333333333</v>
      </c>
      <c r="AD136" s="93"/>
      <c r="AE136" s="93"/>
      <c r="AF136" s="93"/>
      <c r="AG136" s="93"/>
      <c r="AH136" s="93"/>
      <c r="AI136" s="93"/>
      <c r="AJ136" s="93"/>
      <c r="AK136" s="93"/>
      <c r="AL136" s="93"/>
      <c r="AM136" s="93"/>
      <c r="AN136" s="117">
        <f t="shared" si="2"/>
        <v>0</v>
      </c>
      <c r="AO136" s="118">
        <f t="shared" si="3"/>
        <v>0</v>
      </c>
      <c r="AP136" s="13" t="s">
        <v>2457</v>
      </c>
    </row>
    <row r="137" spans="1:42" ht="25.5">
      <c r="A137" s="2">
        <v>110</v>
      </c>
      <c r="B137" s="2">
        <v>114</v>
      </c>
      <c r="C137" s="2" t="s">
        <v>78</v>
      </c>
      <c r="D137" s="2" t="s">
        <v>6</v>
      </c>
      <c r="E137" s="2">
        <v>3</v>
      </c>
      <c r="F137" s="2" t="s">
        <v>1523</v>
      </c>
      <c r="G137" s="2" t="s">
        <v>1524</v>
      </c>
      <c r="H137" s="2" t="s">
        <v>2510</v>
      </c>
      <c r="I137" s="1" t="s">
        <v>4166</v>
      </c>
      <c r="J137" s="1" t="s">
        <v>4127</v>
      </c>
      <c r="K137" s="63">
        <v>29104391</v>
      </c>
      <c r="L137" s="1" t="s">
        <v>2438</v>
      </c>
      <c r="M137" s="1">
        <v>3447000</v>
      </c>
      <c r="N137" s="1" t="s">
        <v>3735</v>
      </c>
      <c r="O137" s="1" t="s">
        <v>4181</v>
      </c>
      <c r="P137" s="1">
        <v>3428</v>
      </c>
      <c r="Q137" s="64">
        <v>43073</v>
      </c>
      <c r="R137" s="64">
        <v>46724</v>
      </c>
      <c r="S137" s="62" t="s">
        <v>2440</v>
      </c>
      <c r="T137" s="30" t="s">
        <v>2436</v>
      </c>
      <c r="U137" s="9" t="s">
        <v>2443</v>
      </c>
      <c r="V137" s="13" t="s">
        <v>3487</v>
      </c>
      <c r="W137" s="13" t="s">
        <v>3488</v>
      </c>
      <c r="X137" s="13">
        <v>2585</v>
      </c>
      <c r="Y137" s="60">
        <v>93823.173</v>
      </c>
      <c r="Z137" s="60">
        <v>93748.802</v>
      </c>
      <c r="AA137" s="2" t="s">
        <v>3741</v>
      </c>
      <c r="AB137" s="66"/>
      <c r="AC137" s="66"/>
      <c r="AD137" s="66"/>
      <c r="AE137" s="66"/>
      <c r="AF137" s="66"/>
      <c r="AG137" s="66"/>
      <c r="AH137" s="43"/>
      <c r="AI137" s="43"/>
      <c r="AJ137" s="2"/>
      <c r="AK137" s="1"/>
      <c r="AL137" s="1"/>
      <c r="AM137" s="1"/>
      <c r="AN137" s="44">
        <f t="shared" si="2"/>
        <v>0</v>
      </c>
      <c r="AO137" s="45">
        <f t="shared" si="3"/>
        <v>0</v>
      </c>
      <c r="AP137" s="66"/>
    </row>
    <row r="138" spans="1:42" ht="51" customHeight="1">
      <c r="A138" s="2"/>
      <c r="B138" s="2">
        <v>115</v>
      </c>
      <c r="C138" s="1" t="s">
        <v>3981</v>
      </c>
      <c r="D138" s="1" t="s">
        <v>6</v>
      </c>
      <c r="E138" s="13">
        <v>3</v>
      </c>
      <c r="F138" s="13" t="s">
        <v>3982</v>
      </c>
      <c r="G138" s="205" t="s">
        <v>3983</v>
      </c>
      <c r="H138" s="2" t="s">
        <v>2510</v>
      </c>
      <c r="I138" s="1" t="s">
        <v>4166</v>
      </c>
      <c r="J138" s="1" t="s">
        <v>4127</v>
      </c>
      <c r="K138" s="63">
        <v>29104391</v>
      </c>
      <c r="L138" s="1" t="s">
        <v>2438</v>
      </c>
      <c r="M138" s="1">
        <v>3447000</v>
      </c>
      <c r="N138" s="1" t="s">
        <v>3735</v>
      </c>
      <c r="O138" s="1" t="s">
        <v>4181</v>
      </c>
      <c r="P138" s="1">
        <v>3428</v>
      </c>
      <c r="Q138" s="64">
        <v>43073</v>
      </c>
      <c r="R138" s="64">
        <v>46724</v>
      </c>
      <c r="S138" s="62" t="s">
        <v>2440</v>
      </c>
      <c r="T138" s="29" t="s">
        <v>2441</v>
      </c>
      <c r="U138" s="2" t="s">
        <v>2444</v>
      </c>
      <c r="V138" s="23" t="s">
        <v>3984</v>
      </c>
      <c r="W138" s="23" t="s">
        <v>3985</v>
      </c>
      <c r="X138" s="23"/>
      <c r="Y138" s="60"/>
      <c r="Z138" s="60"/>
      <c r="AA138" s="2" t="s">
        <v>4021</v>
      </c>
      <c r="AB138" s="83">
        <v>43768</v>
      </c>
      <c r="AC138" s="50" t="s">
        <v>3986</v>
      </c>
      <c r="AD138" s="82">
        <v>432</v>
      </c>
      <c r="AE138" s="82">
        <v>285</v>
      </c>
      <c r="AF138" s="82">
        <v>1.028</v>
      </c>
      <c r="AG138" s="82">
        <v>24</v>
      </c>
      <c r="AH138" s="102">
        <f>AF138*AD138*AG138*0.0036</f>
        <v>38.3698944</v>
      </c>
      <c r="AI138" s="102">
        <f>AF138*AE138*AG138*0.0036</f>
        <v>25.313472</v>
      </c>
      <c r="AJ138" s="2">
        <v>30</v>
      </c>
      <c r="AK138" s="1">
        <v>12</v>
      </c>
      <c r="AL138" s="1">
        <v>0.69</v>
      </c>
      <c r="AM138" s="1">
        <v>0.9</v>
      </c>
      <c r="AN138" s="44">
        <f>AH138*AJ138*AK138*AL138</f>
        <v>9531.081768959999</v>
      </c>
      <c r="AO138" s="45">
        <f>AI138*AJ138*AK138*AM138</f>
        <v>8201.564928000002</v>
      </c>
      <c r="AP138" s="13" t="s">
        <v>2457</v>
      </c>
    </row>
    <row r="139" spans="1:42" ht="51" customHeight="1">
      <c r="A139" s="2"/>
      <c r="B139" s="2">
        <v>116</v>
      </c>
      <c r="C139" s="1" t="s">
        <v>3981</v>
      </c>
      <c r="D139" s="1" t="s">
        <v>6</v>
      </c>
      <c r="E139" s="13">
        <v>3</v>
      </c>
      <c r="F139" s="13" t="s">
        <v>3987</v>
      </c>
      <c r="G139" s="205" t="s">
        <v>3988</v>
      </c>
      <c r="H139" s="2" t="s">
        <v>2510</v>
      </c>
      <c r="I139" s="1" t="s">
        <v>4166</v>
      </c>
      <c r="J139" s="1" t="s">
        <v>4127</v>
      </c>
      <c r="K139" s="63">
        <v>29104391</v>
      </c>
      <c r="L139" s="1" t="s">
        <v>2438</v>
      </c>
      <c r="M139" s="1">
        <v>3447000</v>
      </c>
      <c r="N139" s="1" t="s">
        <v>3735</v>
      </c>
      <c r="O139" s="1" t="s">
        <v>4181</v>
      </c>
      <c r="P139" s="1">
        <v>3428</v>
      </c>
      <c r="Q139" s="64">
        <v>43073</v>
      </c>
      <c r="R139" s="64">
        <v>46724</v>
      </c>
      <c r="S139" s="62" t="s">
        <v>2440</v>
      </c>
      <c r="T139" s="29" t="s">
        <v>2441</v>
      </c>
      <c r="U139" s="2" t="s">
        <v>2444</v>
      </c>
      <c r="V139" s="23" t="s">
        <v>3989</v>
      </c>
      <c r="W139" s="23" t="s">
        <v>3990</v>
      </c>
      <c r="X139" s="23"/>
      <c r="Y139" s="60"/>
      <c r="Z139" s="60"/>
      <c r="AA139" s="2" t="s">
        <v>4022</v>
      </c>
      <c r="AB139" s="83">
        <v>43768</v>
      </c>
      <c r="AC139" s="50" t="s">
        <v>3808</v>
      </c>
      <c r="AD139" s="82">
        <v>2</v>
      </c>
      <c r="AE139" s="82">
        <v>310</v>
      </c>
      <c r="AF139" s="82">
        <v>0.31199999999999994</v>
      </c>
      <c r="AG139" s="82">
        <v>24</v>
      </c>
      <c r="AH139" s="102">
        <f>AF139*AD139*AG139*0.0036</f>
        <v>0.05391359999999999</v>
      </c>
      <c r="AI139" s="102">
        <f>AF139*AE139*AG139*0.0036</f>
        <v>8.356608</v>
      </c>
      <c r="AJ139" s="2">
        <v>30</v>
      </c>
      <c r="AK139" s="1">
        <v>12</v>
      </c>
      <c r="AL139" s="1">
        <v>0.72</v>
      </c>
      <c r="AM139" s="1">
        <v>0.88</v>
      </c>
      <c r="AN139" s="44">
        <f>AH139*AJ139*AK139*AL139</f>
        <v>13.974405119999998</v>
      </c>
      <c r="AO139" s="45">
        <f>AI139*AJ139*AK139*AM139</f>
        <v>2647.3734144</v>
      </c>
      <c r="AP139" s="13" t="s">
        <v>2457</v>
      </c>
    </row>
    <row r="140" spans="1:42" ht="12.75">
      <c r="A140" s="2"/>
      <c r="B140" s="226" t="s">
        <v>2523</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119">
        <f>AN123+AN124+AN127+AN128+AN129+AN130+AN131+AN135+AN136</f>
        <v>15616.639704472998</v>
      </c>
      <c r="AO140" s="119">
        <f>AO123+AO124+AO127+AO128+AO129+AO130+AO131+AO135+AO136</f>
        <v>576978.2680661621</v>
      </c>
      <c r="AP140" s="66"/>
    </row>
    <row r="141" spans="1:42" ht="12.75">
      <c r="A141" s="2"/>
      <c r="B141" s="227" t="s">
        <v>2551</v>
      </c>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73">
        <f>SUM(AN115:AN139)</f>
        <v>31787.268404633</v>
      </c>
      <c r="AO141" s="73">
        <f>SUM(AO115:AO139)</f>
        <v>593005.1104392821</v>
      </c>
      <c r="AP141" s="66"/>
    </row>
    <row r="142" spans="1:42" ht="51">
      <c r="A142" s="2">
        <v>111</v>
      </c>
      <c r="B142" s="2">
        <v>117</v>
      </c>
      <c r="C142" s="1" t="s">
        <v>3827</v>
      </c>
      <c r="D142" s="1" t="s">
        <v>6</v>
      </c>
      <c r="E142" s="13">
        <v>3</v>
      </c>
      <c r="F142" s="13" t="s">
        <v>1525</v>
      </c>
      <c r="G142" s="2" t="s">
        <v>1526</v>
      </c>
      <c r="H142" s="2" t="s">
        <v>2486</v>
      </c>
      <c r="I142" s="1" t="s">
        <v>4166</v>
      </c>
      <c r="J142" s="1" t="s">
        <v>4127</v>
      </c>
      <c r="K142" s="63">
        <v>29104391</v>
      </c>
      <c r="L142" s="1" t="s">
        <v>2438</v>
      </c>
      <c r="M142" s="1">
        <v>3447000</v>
      </c>
      <c r="N142" s="1" t="s">
        <v>3735</v>
      </c>
      <c r="O142" s="1" t="s">
        <v>4181</v>
      </c>
      <c r="P142" s="1">
        <v>3428</v>
      </c>
      <c r="Q142" s="64">
        <v>43073</v>
      </c>
      <c r="R142" s="64">
        <v>46724</v>
      </c>
      <c r="S142" s="62" t="s">
        <v>2440</v>
      </c>
      <c r="T142" s="29" t="s">
        <v>2441</v>
      </c>
      <c r="U142" s="2" t="s">
        <v>2444</v>
      </c>
      <c r="V142" s="23" t="s">
        <v>3489</v>
      </c>
      <c r="W142" s="23" t="s">
        <v>3490</v>
      </c>
      <c r="X142" s="23">
        <v>2934</v>
      </c>
      <c r="Y142" s="60">
        <v>93742.95</v>
      </c>
      <c r="Z142" s="60">
        <v>99234.27</v>
      </c>
      <c r="AA142" s="2" t="s">
        <v>3753</v>
      </c>
      <c r="AB142" s="67">
        <v>43711</v>
      </c>
      <c r="AC142" s="2" t="s">
        <v>3839</v>
      </c>
      <c r="AD142" s="69">
        <v>313</v>
      </c>
      <c r="AE142" s="69">
        <v>396</v>
      </c>
      <c r="AF142" s="69">
        <v>1.453</v>
      </c>
      <c r="AG142" s="69">
        <v>24</v>
      </c>
      <c r="AH142" s="43">
        <f>AF142*AD142*AG142*0.0036</f>
        <v>39.293769600000005</v>
      </c>
      <c r="AI142" s="43">
        <f>AF142*AE142*AG142*0.0036</f>
        <v>49.713523200000004</v>
      </c>
      <c r="AJ142" s="2">
        <v>30</v>
      </c>
      <c r="AK142" s="1">
        <v>12</v>
      </c>
      <c r="AL142" s="1">
        <v>0.68</v>
      </c>
      <c r="AM142" s="1">
        <v>0.69</v>
      </c>
      <c r="AN142" s="117">
        <f t="shared" si="2"/>
        <v>9619.114798080001</v>
      </c>
      <c r="AO142" s="118">
        <f t="shared" si="3"/>
        <v>12348.83916288</v>
      </c>
      <c r="AP142" s="13" t="s">
        <v>2405</v>
      </c>
    </row>
    <row r="143" spans="1:42" ht="51">
      <c r="A143" s="2">
        <v>112</v>
      </c>
      <c r="B143" s="2">
        <v>118</v>
      </c>
      <c r="C143" s="1" t="s">
        <v>3827</v>
      </c>
      <c r="D143" s="1" t="s">
        <v>6</v>
      </c>
      <c r="E143" s="13">
        <v>3</v>
      </c>
      <c r="F143" s="13" t="s">
        <v>1527</v>
      </c>
      <c r="G143" s="2" t="s">
        <v>1528</v>
      </c>
      <c r="H143" s="2" t="s">
        <v>2486</v>
      </c>
      <c r="I143" s="1" t="s">
        <v>4166</v>
      </c>
      <c r="J143" s="1" t="s">
        <v>4127</v>
      </c>
      <c r="K143" s="63">
        <v>29104391</v>
      </c>
      <c r="L143" s="1" t="s">
        <v>2438</v>
      </c>
      <c r="M143" s="1">
        <v>3447000</v>
      </c>
      <c r="N143" s="1" t="s">
        <v>3735</v>
      </c>
      <c r="O143" s="1" t="s">
        <v>4181</v>
      </c>
      <c r="P143" s="1">
        <v>3428</v>
      </c>
      <c r="Q143" s="64">
        <v>43073</v>
      </c>
      <c r="R143" s="64">
        <v>46724</v>
      </c>
      <c r="S143" s="62" t="s">
        <v>2440</v>
      </c>
      <c r="T143" s="1" t="s">
        <v>2442</v>
      </c>
      <c r="U143" s="2" t="s">
        <v>2444</v>
      </c>
      <c r="V143" s="23" t="s">
        <v>3489</v>
      </c>
      <c r="W143" s="23" t="s">
        <v>3491</v>
      </c>
      <c r="X143" s="23">
        <v>2933</v>
      </c>
      <c r="Y143" s="60">
        <v>93742.95</v>
      </c>
      <c r="Z143" s="60">
        <v>99203.43</v>
      </c>
      <c r="AA143" s="2" t="s">
        <v>3753</v>
      </c>
      <c r="AB143" s="67">
        <v>43711</v>
      </c>
      <c r="AC143" s="2" t="s">
        <v>2527</v>
      </c>
      <c r="AD143" s="69">
        <v>272</v>
      </c>
      <c r="AE143" s="69">
        <v>206</v>
      </c>
      <c r="AF143" s="69">
        <v>1.498</v>
      </c>
      <c r="AG143" s="69">
        <v>24</v>
      </c>
      <c r="AH143" s="43">
        <f>AF143*AD143*AG143*0.0036</f>
        <v>35.204198399999996</v>
      </c>
      <c r="AI143" s="43">
        <f>AF143*AE143*AG143*0.0036</f>
        <v>26.662003200000004</v>
      </c>
      <c r="AJ143" s="2">
        <v>30</v>
      </c>
      <c r="AK143" s="1">
        <v>12</v>
      </c>
      <c r="AL143" s="1">
        <v>0.63</v>
      </c>
      <c r="AM143" s="1">
        <v>0.68</v>
      </c>
      <c r="AN143" s="117">
        <f>AH143*AJ143*AK143*AL143</f>
        <v>7984.312197119999</v>
      </c>
      <c r="AO143" s="118">
        <f>AI143*AJ143*AK143*AM143</f>
        <v>6526.8583833600005</v>
      </c>
      <c r="AP143" s="13" t="s">
        <v>2405</v>
      </c>
    </row>
    <row r="144" spans="1:42" ht="51">
      <c r="A144" s="2">
        <v>113</v>
      </c>
      <c r="B144" s="2">
        <v>119</v>
      </c>
      <c r="C144" s="1" t="s">
        <v>3827</v>
      </c>
      <c r="D144" s="1" t="s">
        <v>6</v>
      </c>
      <c r="E144" s="13">
        <v>3</v>
      </c>
      <c r="F144" s="13" t="s">
        <v>1529</v>
      </c>
      <c r="G144" s="2" t="s">
        <v>1530</v>
      </c>
      <c r="H144" s="2" t="s">
        <v>2486</v>
      </c>
      <c r="I144" s="1" t="s">
        <v>4166</v>
      </c>
      <c r="J144" s="1" t="s">
        <v>4127</v>
      </c>
      <c r="K144" s="63">
        <v>29104391</v>
      </c>
      <c r="L144" s="1" t="s">
        <v>2438</v>
      </c>
      <c r="M144" s="1">
        <v>3447000</v>
      </c>
      <c r="N144" s="1" t="s">
        <v>3735</v>
      </c>
      <c r="O144" s="1" t="s">
        <v>4181</v>
      </c>
      <c r="P144" s="1">
        <v>3428</v>
      </c>
      <c r="Q144" s="64">
        <v>43073</v>
      </c>
      <c r="R144" s="64">
        <v>46724</v>
      </c>
      <c r="S144" s="62" t="s">
        <v>2440</v>
      </c>
      <c r="T144" s="1" t="s">
        <v>2442</v>
      </c>
      <c r="U144" s="2" t="s">
        <v>2444</v>
      </c>
      <c r="V144" s="23" t="s">
        <v>3492</v>
      </c>
      <c r="W144" s="23" t="s">
        <v>3491</v>
      </c>
      <c r="X144" s="23">
        <v>2933</v>
      </c>
      <c r="Y144" s="60">
        <v>93739.87</v>
      </c>
      <c r="Z144" s="60">
        <v>99203.43</v>
      </c>
      <c r="AA144" s="2" t="s">
        <v>3753</v>
      </c>
      <c r="AB144" s="67">
        <v>43711</v>
      </c>
      <c r="AC144" s="2" t="s">
        <v>3771</v>
      </c>
      <c r="AD144" s="69">
        <v>197</v>
      </c>
      <c r="AE144" s="69">
        <v>172</v>
      </c>
      <c r="AF144" s="69">
        <v>0.805</v>
      </c>
      <c r="AG144" s="69">
        <v>24</v>
      </c>
      <c r="AH144" s="43">
        <f>AF144*AD144*AG144*0.0036</f>
        <v>13.701744</v>
      </c>
      <c r="AI144" s="43">
        <f>AF144*AE144*AG144*0.0036</f>
        <v>11.962944</v>
      </c>
      <c r="AJ144" s="2">
        <v>30</v>
      </c>
      <c r="AK144" s="1">
        <v>12</v>
      </c>
      <c r="AL144" s="1">
        <v>0.68</v>
      </c>
      <c r="AM144" s="1">
        <v>0.69</v>
      </c>
      <c r="AN144" s="117">
        <f t="shared" si="2"/>
        <v>3354.1869312000003</v>
      </c>
      <c r="AO144" s="118">
        <f t="shared" si="3"/>
        <v>2971.5952896</v>
      </c>
      <c r="AP144" s="13" t="s">
        <v>2405</v>
      </c>
    </row>
    <row r="145" spans="1:42" ht="38.25">
      <c r="A145" s="2">
        <v>114</v>
      </c>
      <c r="B145" s="2">
        <v>120</v>
      </c>
      <c r="C145" s="1" t="s">
        <v>3828</v>
      </c>
      <c r="D145" s="1" t="s">
        <v>6</v>
      </c>
      <c r="E145" s="13">
        <v>3</v>
      </c>
      <c r="F145" s="11" t="s">
        <v>1531</v>
      </c>
      <c r="G145" s="9" t="s">
        <v>3829</v>
      </c>
      <c r="H145" s="2" t="s">
        <v>2486</v>
      </c>
      <c r="I145" s="1" t="s">
        <v>4166</v>
      </c>
      <c r="J145" s="1" t="s">
        <v>4127</v>
      </c>
      <c r="K145" s="63">
        <v>29104391</v>
      </c>
      <c r="L145" s="1" t="s">
        <v>2438</v>
      </c>
      <c r="M145" s="1">
        <v>3447000</v>
      </c>
      <c r="N145" s="1" t="s">
        <v>3735</v>
      </c>
      <c r="O145" s="1" t="s">
        <v>4181</v>
      </c>
      <c r="P145" s="1">
        <v>3428</v>
      </c>
      <c r="Q145" s="64">
        <v>43073</v>
      </c>
      <c r="R145" s="64">
        <v>46724</v>
      </c>
      <c r="S145" s="62" t="s">
        <v>2440</v>
      </c>
      <c r="T145" s="30" t="s">
        <v>2436</v>
      </c>
      <c r="U145" s="9" t="s">
        <v>2480</v>
      </c>
      <c r="V145" s="3" t="s">
        <v>3493</v>
      </c>
      <c r="W145" s="3" t="s">
        <v>1532</v>
      </c>
      <c r="X145" s="23">
        <v>2948</v>
      </c>
      <c r="Y145" s="60">
        <v>93453.183</v>
      </c>
      <c r="Z145" s="60">
        <v>99332.364</v>
      </c>
      <c r="AA145" s="2" t="s">
        <v>3741</v>
      </c>
      <c r="AB145" s="66"/>
      <c r="AC145" s="66"/>
      <c r="AD145" s="66"/>
      <c r="AE145" s="66"/>
      <c r="AF145" s="66"/>
      <c r="AG145" s="66"/>
      <c r="AH145" s="43"/>
      <c r="AI145" s="43"/>
      <c r="AJ145" s="2"/>
      <c r="AK145" s="1"/>
      <c r="AL145" s="1"/>
      <c r="AM145" s="1"/>
      <c r="AN145" s="44">
        <f t="shared" si="2"/>
        <v>0</v>
      </c>
      <c r="AO145" s="45">
        <f t="shared" si="3"/>
        <v>0</v>
      </c>
      <c r="AP145" s="66"/>
    </row>
    <row r="146" spans="1:42" ht="45" customHeight="1">
      <c r="A146" s="2">
        <v>115</v>
      </c>
      <c r="B146" s="2">
        <v>121</v>
      </c>
      <c r="C146" s="1" t="s">
        <v>3827</v>
      </c>
      <c r="D146" s="1" t="s">
        <v>6</v>
      </c>
      <c r="E146" s="13">
        <v>3</v>
      </c>
      <c r="F146" s="2" t="s">
        <v>1533</v>
      </c>
      <c r="G146" s="2" t="s">
        <v>3830</v>
      </c>
      <c r="H146" s="2" t="s">
        <v>2486</v>
      </c>
      <c r="I146" s="1" t="s">
        <v>4166</v>
      </c>
      <c r="J146" s="1" t="s">
        <v>4127</v>
      </c>
      <c r="K146" s="63">
        <v>29104391</v>
      </c>
      <c r="L146" s="1" t="s">
        <v>2438</v>
      </c>
      <c r="M146" s="1">
        <v>3447000</v>
      </c>
      <c r="N146" s="1" t="s">
        <v>3735</v>
      </c>
      <c r="O146" s="1" t="s">
        <v>4181</v>
      </c>
      <c r="P146" s="1">
        <v>3428</v>
      </c>
      <c r="Q146" s="64">
        <v>43073</v>
      </c>
      <c r="R146" s="64">
        <v>46724</v>
      </c>
      <c r="S146" s="62" t="s">
        <v>2440</v>
      </c>
      <c r="T146" s="29" t="s">
        <v>2442</v>
      </c>
      <c r="U146" s="9" t="s">
        <v>2443</v>
      </c>
      <c r="V146" s="23" t="s">
        <v>3494</v>
      </c>
      <c r="W146" s="23" t="s">
        <v>1534</v>
      </c>
      <c r="X146" s="23">
        <v>2879</v>
      </c>
      <c r="Y146" s="60">
        <v>93839.732</v>
      </c>
      <c r="Z146" s="60">
        <v>99011.924</v>
      </c>
      <c r="AA146" s="2" t="s">
        <v>3741</v>
      </c>
      <c r="AB146" s="66"/>
      <c r="AC146" s="66"/>
      <c r="AD146" s="66"/>
      <c r="AE146" s="66"/>
      <c r="AF146" s="66"/>
      <c r="AG146" s="66"/>
      <c r="AH146" s="43"/>
      <c r="AI146" s="43"/>
      <c r="AJ146" s="2"/>
      <c r="AK146" s="1"/>
      <c r="AL146" s="1"/>
      <c r="AM146" s="1"/>
      <c r="AN146" s="44">
        <f t="shared" si="2"/>
        <v>0</v>
      </c>
      <c r="AO146" s="45">
        <f t="shared" si="3"/>
        <v>0</v>
      </c>
      <c r="AP146" s="66"/>
    </row>
    <row r="147" spans="1:42" ht="58.5" customHeight="1">
      <c r="A147" s="2">
        <v>116</v>
      </c>
      <c r="B147" s="2">
        <v>122</v>
      </c>
      <c r="C147" s="1" t="s">
        <v>3828</v>
      </c>
      <c r="D147" s="1" t="s">
        <v>6</v>
      </c>
      <c r="E147" s="13">
        <v>3</v>
      </c>
      <c r="F147" s="13" t="s">
        <v>1535</v>
      </c>
      <c r="G147" s="2" t="s">
        <v>1536</v>
      </c>
      <c r="H147" s="2" t="s">
        <v>2486</v>
      </c>
      <c r="I147" s="1" t="s">
        <v>4166</v>
      </c>
      <c r="J147" s="1" t="s">
        <v>4127</v>
      </c>
      <c r="K147" s="63">
        <v>29104391</v>
      </c>
      <c r="L147" s="1" t="s">
        <v>2438</v>
      </c>
      <c r="M147" s="1">
        <v>3447000</v>
      </c>
      <c r="N147" s="1" t="s">
        <v>3735</v>
      </c>
      <c r="O147" s="1" t="s">
        <v>4181</v>
      </c>
      <c r="P147" s="1">
        <v>3428</v>
      </c>
      <c r="Q147" s="64">
        <v>43073</v>
      </c>
      <c r="R147" s="64">
        <v>46724</v>
      </c>
      <c r="S147" s="62" t="s">
        <v>2440</v>
      </c>
      <c r="T147" s="1" t="s">
        <v>2442</v>
      </c>
      <c r="U147" s="2" t="s">
        <v>2444</v>
      </c>
      <c r="V147" s="23" t="s">
        <v>3495</v>
      </c>
      <c r="W147" s="23" t="s">
        <v>3496</v>
      </c>
      <c r="X147" s="23">
        <v>2930</v>
      </c>
      <c r="Y147" s="60">
        <v>93540.05</v>
      </c>
      <c r="Z147" s="60">
        <v>98154.95</v>
      </c>
      <c r="AA147" s="2" t="s">
        <v>4159</v>
      </c>
      <c r="AB147" s="67">
        <v>43713</v>
      </c>
      <c r="AC147" s="50">
        <v>0.41875</v>
      </c>
      <c r="AD147" s="93"/>
      <c r="AE147" s="93"/>
      <c r="AF147" s="93"/>
      <c r="AG147" s="93"/>
      <c r="AH147" s="93"/>
      <c r="AI147" s="93"/>
      <c r="AJ147" s="93"/>
      <c r="AK147" s="93"/>
      <c r="AL147" s="93"/>
      <c r="AM147" s="93"/>
      <c r="AN147" s="117">
        <v>17.869958931484042</v>
      </c>
      <c r="AO147" s="118">
        <v>26.377204132800557</v>
      </c>
      <c r="AP147" s="13" t="s">
        <v>2413</v>
      </c>
    </row>
    <row r="148" spans="1:42" ht="58.5" customHeight="1">
      <c r="A148" s="2">
        <v>117</v>
      </c>
      <c r="B148" s="2">
        <v>123</v>
      </c>
      <c r="C148" s="1" t="s">
        <v>3828</v>
      </c>
      <c r="D148" s="1" t="s">
        <v>6</v>
      </c>
      <c r="E148" s="13">
        <v>3</v>
      </c>
      <c r="F148" s="13" t="s">
        <v>2377</v>
      </c>
      <c r="G148" s="2" t="s">
        <v>1537</v>
      </c>
      <c r="H148" s="2" t="s">
        <v>2486</v>
      </c>
      <c r="I148" s="1" t="s">
        <v>4166</v>
      </c>
      <c r="J148" s="1" t="s">
        <v>4127</v>
      </c>
      <c r="K148" s="63">
        <v>29104391</v>
      </c>
      <c r="L148" s="1" t="s">
        <v>2438</v>
      </c>
      <c r="M148" s="1">
        <v>3447000</v>
      </c>
      <c r="N148" s="1" t="s">
        <v>3735</v>
      </c>
      <c r="O148" s="1" t="s">
        <v>4181</v>
      </c>
      <c r="P148" s="1">
        <v>3428</v>
      </c>
      <c r="Q148" s="64">
        <v>43073</v>
      </c>
      <c r="R148" s="64">
        <v>46724</v>
      </c>
      <c r="S148" s="62" t="s">
        <v>2440</v>
      </c>
      <c r="T148" s="1" t="s">
        <v>2442</v>
      </c>
      <c r="U148" s="2" t="s">
        <v>2444</v>
      </c>
      <c r="V148" s="23" t="s">
        <v>3497</v>
      </c>
      <c r="W148" s="23" t="s">
        <v>3498</v>
      </c>
      <c r="X148" s="23">
        <v>2920</v>
      </c>
      <c r="Y148" s="60">
        <v>93601.47</v>
      </c>
      <c r="Z148" s="60">
        <v>97599.86</v>
      </c>
      <c r="AA148" s="2" t="s">
        <v>3840</v>
      </c>
      <c r="AB148" s="67">
        <v>43713</v>
      </c>
      <c r="AC148" s="50">
        <v>0.4145833333333333</v>
      </c>
      <c r="AD148" s="93"/>
      <c r="AE148" s="93"/>
      <c r="AF148" s="93"/>
      <c r="AG148" s="93"/>
      <c r="AH148" s="93"/>
      <c r="AI148" s="93"/>
      <c r="AJ148" s="93"/>
      <c r="AK148" s="93"/>
      <c r="AL148" s="93"/>
      <c r="AM148" s="93"/>
      <c r="AN148" s="117">
        <f t="shared" si="2"/>
        <v>0</v>
      </c>
      <c r="AO148" s="118">
        <f t="shared" si="3"/>
        <v>0</v>
      </c>
      <c r="AP148" s="13" t="s">
        <v>2413</v>
      </c>
    </row>
    <row r="149" spans="1:42" ht="43.5" customHeight="1">
      <c r="A149" s="2">
        <v>118</v>
      </c>
      <c r="B149" s="2">
        <v>124</v>
      </c>
      <c r="C149" s="1" t="s">
        <v>3828</v>
      </c>
      <c r="D149" s="1" t="s">
        <v>6</v>
      </c>
      <c r="E149" s="13">
        <v>3</v>
      </c>
      <c r="F149" s="13" t="s">
        <v>1538</v>
      </c>
      <c r="G149" s="2" t="s">
        <v>1539</v>
      </c>
      <c r="H149" s="2" t="s">
        <v>2486</v>
      </c>
      <c r="I149" s="1" t="s">
        <v>4166</v>
      </c>
      <c r="J149" s="1" t="s">
        <v>4127</v>
      </c>
      <c r="K149" s="63">
        <v>29104391</v>
      </c>
      <c r="L149" s="1" t="s">
        <v>2438</v>
      </c>
      <c r="M149" s="1">
        <v>3447000</v>
      </c>
      <c r="N149" s="1" t="s">
        <v>3735</v>
      </c>
      <c r="O149" s="1" t="s">
        <v>4181</v>
      </c>
      <c r="P149" s="1">
        <v>3428</v>
      </c>
      <c r="Q149" s="64">
        <v>43073</v>
      </c>
      <c r="R149" s="64">
        <v>46724</v>
      </c>
      <c r="S149" s="62" t="s">
        <v>2440</v>
      </c>
      <c r="T149" s="29" t="s">
        <v>2441</v>
      </c>
      <c r="U149" s="2" t="s">
        <v>2444</v>
      </c>
      <c r="V149" s="23" t="s">
        <v>3499</v>
      </c>
      <c r="W149" s="23" t="s">
        <v>3500</v>
      </c>
      <c r="X149" s="23">
        <v>2864</v>
      </c>
      <c r="Y149" s="60">
        <v>93877.82</v>
      </c>
      <c r="Z149" s="60">
        <v>98914.16</v>
      </c>
      <c r="AA149" s="2" t="s">
        <v>3753</v>
      </c>
      <c r="AB149" s="67">
        <v>43713</v>
      </c>
      <c r="AC149" s="2" t="s">
        <v>2412</v>
      </c>
      <c r="AD149" s="82">
        <v>668</v>
      </c>
      <c r="AE149" s="82">
        <v>432</v>
      </c>
      <c r="AF149" s="82">
        <v>1.105</v>
      </c>
      <c r="AG149" s="82">
        <v>24</v>
      </c>
      <c r="AH149" s="43">
        <f>AF149*AD149*AG149*0.0036</f>
        <v>63.775296</v>
      </c>
      <c r="AI149" s="43">
        <f>AF149*AE149*AG149*0.0036</f>
        <v>41.24390399999999</v>
      </c>
      <c r="AJ149" s="2">
        <v>30</v>
      </c>
      <c r="AK149" s="1">
        <v>12</v>
      </c>
      <c r="AL149" s="1">
        <v>0.55</v>
      </c>
      <c r="AM149" s="1">
        <v>0.59</v>
      </c>
      <c r="AN149" s="117">
        <f>AH149*AJ149*AK149*AL149</f>
        <v>12627.508608000002</v>
      </c>
      <c r="AO149" s="118">
        <f>AI149*AJ149*AK149*AM149</f>
        <v>8760.205209599997</v>
      </c>
      <c r="AP149" s="13" t="s">
        <v>2413</v>
      </c>
    </row>
    <row r="150" spans="1:42" ht="36" customHeight="1">
      <c r="A150" s="2">
        <v>119</v>
      </c>
      <c r="B150" s="2">
        <v>125</v>
      </c>
      <c r="C150" s="1" t="s">
        <v>3828</v>
      </c>
      <c r="D150" s="1" t="s">
        <v>6</v>
      </c>
      <c r="E150" s="13">
        <v>3</v>
      </c>
      <c r="F150" s="13" t="s">
        <v>1540</v>
      </c>
      <c r="G150" s="2" t="s">
        <v>1541</v>
      </c>
      <c r="H150" s="2" t="s">
        <v>2486</v>
      </c>
      <c r="I150" s="1" t="s">
        <v>4166</v>
      </c>
      <c r="J150" s="1" t="s">
        <v>4127</v>
      </c>
      <c r="K150" s="63">
        <v>29104391</v>
      </c>
      <c r="L150" s="1" t="s">
        <v>2438</v>
      </c>
      <c r="M150" s="1">
        <v>3447000</v>
      </c>
      <c r="N150" s="1" t="s">
        <v>3735</v>
      </c>
      <c r="O150" s="1" t="s">
        <v>4181</v>
      </c>
      <c r="P150" s="1">
        <v>3428</v>
      </c>
      <c r="Q150" s="64">
        <v>43073</v>
      </c>
      <c r="R150" s="64">
        <v>46724</v>
      </c>
      <c r="S150" s="62" t="s">
        <v>2440</v>
      </c>
      <c r="T150" s="29" t="s">
        <v>2441</v>
      </c>
      <c r="U150" s="2" t="s">
        <v>2444</v>
      </c>
      <c r="V150" s="23" t="s">
        <v>3501</v>
      </c>
      <c r="W150" s="23" t="s">
        <v>3502</v>
      </c>
      <c r="X150" s="23">
        <v>2861</v>
      </c>
      <c r="Y150" s="60">
        <v>93897.49</v>
      </c>
      <c r="Z150" s="60">
        <v>98895.96</v>
      </c>
      <c r="AA150" s="2" t="s">
        <v>3741</v>
      </c>
      <c r="AB150" s="67"/>
      <c r="AC150" s="66"/>
      <c r="AD150" s="93"/>
      <c r="AE150" s="93"/>
      <c r="AF150" s="93"/>
      <c r="AG150" s="93"/>
      <c r="AH150" s="93"/>
      <c r="AI150" s="93"/>
      <c r="AJ150" s="93"/>
      <c r="AK150" s="93"/>
      <c r="AL150" s="93"/>
      <c r="AM150" s="93"/>
      <c r="AN150" s="117">
        <f t="shared" si="2"/>
        <v>0</v>
      </c>
      <c r="AO150" s="118">
        <f t="shared" si="3"/>
        <v>0</v>
      </c>
      <c r="AP150" s="13" t="s">
        <v>2413</v>
      </c>
    </row>
    <row r="151" spans="1:42" ht="29.25" customHeight="1">
      <c r="A151" s="2">
        <v>120</v>
      </c>
      <c r="B151" s="2">
        <v>126</v>
      </c>
      <c r="C151" s="1" t="s">
        <v>3828</v>
      </c>
      <c r="D151" s="1" t="s">
        <v>6</v>
      </c>
      <c r="E151" s="13">
        <v>3</v>
      </c>
      <c r="F151" s="13" t="s">
        <v>1542</v>
      </c>
      <c r="G151" s="2" t="s">
        <v>1543</v>
      </c>
      <c r="H151" s="2" t="s">
        <v>2486</v>
      </c>
      <c r="I151" s="1" t="s">
        <v>4166</v>
      </c>
      <c r="J151" s="1" t="s">
        <v>4127</v>
      </c>
      <c r="K151" s="63">
        <v>29104391</v>
      </c>
      <c r="L151" s="1" t="s">
        <v>2438</v>
      </c>
      <c r="M151" s="1">
        <v>3447000</v>
      </c>
      <c r="N151" s="1" t="s">
        <v>3735</v>
      </c>
      <c r="O151" s="1" t="s">
        <v>4181</v>
      </c>
      <c r="P151" s="1">
        <v>3428</v>
      </c>
      <c r="Q151" s="64">
        <v>43073</v>
      </c>
      <c r="R151" s="64">
        <v>46724</v>
      </c>
      <c r="S151" s="62" t="s">
        <v>2440</v>
      </c>
      <c r="T151" s="29" t="s">
        <v>2441</v>
      </c>
      <c r="U151" s="2" t="s">
        <v>2444</v>
      </c>
      <c r="V151" s="23" t="s">
        <v>3503</v>
      </c>
      <c r="W151" s="23" t="s">
        <v>3504</v>
      </c>
      <c r="X151" s="23">
        <v>2852</v>
      </c>
      <c r="Y151" s="60">
        <v>93932.82</v>
      </c>
      <c r="Z151" s="60">
        <v>98854.33</v>
      </c>
      <c r="AA151" s="2" t="s">
        <v>3753</v>
      </c>
      <c r="AB151" s="67">
        <v>43713</v>
      </c>
      <c r="AC151" s="2" t="s">
        <v>3841</v>
      </c>
      <c r="AD151" s="69">
        <v>452</v>
      </c>
      <c r="AE151" s="69">
        <v>348</v>
      </c>
      <c r="AF151" s="69">
        <v>0.127</v>
      </c>
      <c r="AG151" s="69">
        <v>24</v>
      </c>
      <c r="AH151" s="43">
        <f>AF151*AD151*AG151*0.0036</f>
        <v>4.9597056</v>
      </c>
      <c r="AI151" s="43">
        <f>AF151*AE151*AG151*0.0036</f>
        <v>3.8185344</v>
      </c>
      <c r="AJ151" s="2">
        <v>30</v>
      </c>
      <c r="AK151" s="1">
        <v>12</v>
      </c>
      <c r="AL151" s="1">
        <v>0.6</v>
      </c>
      <c r="AM151" s="1">
        <v>0.56</v>
      </c>
      <c r="AN151" s="117">
        <f>AH151*AJ151*AK151*AL151</f>
        <v>1071.2964096</v>
      </c>
      <c r="AO151" s="118">
        <f t="shared" si="3"/>
        <v>769.8165350400001</v>
      </c>
      <c r="AP151" s="13" t="s">
        <v>2413</v>
      </c>
    </row>
    <row r="152" spans="1:42" ht="38.25">
      <c r="A152" s="2">
        <v>121</v>
      </c>
      <c r="B152" s="2">
        <v>127</v>
      </c>
      <c r="C152" s="1" t="s">
        <v>3831</v>
      </c>
      <c r="D152" s="1" t="s">
        <v>6</v>
      </c>
      <c r="E152" s="13">
        <v>3</v>
      </c>
      <c r="F152" s="2" t="s">
        <v>1544</v>
      </c>
      <c r="G152" s="2" t="s">
        <v>3832</v>
      </c>
      <c r="H152" s="2" t="s">
        <v>2486</v>
      </c>
      <c r="I152" s="1" t="s">
        <v>4166</v>
      </c>
      <c r="J152" s="1" t="s">
        <v>4127</v>
      </c>
      <c r="K152" s="63">
        <v>29104391</v>
      </c>
      <c r="L152" s="1" t="s">
        <v>2438</v>
      </c>
      <c r="M152" s="1">
        <v>3447000</v>
      </c>
      <c r="N152" s="1" t="s">
        <v>3735</v>
      </c>
      <c r="O152" s="1" t="s">
        <v>4181</v>
      </c>
      <c r="P152" s="1">
        <v>3428</v>
      </c>
      <c r="Q152" s="64">
        <v>43073</v>
      </c>
      <c r="R152" s="64">
        <v>46724</v>
      </c>
      <c r="S152" s="62" t="s">
        <v>2440</v>
      </c>
      <c r="T152" s="29" t="s">
        <v>2442</v>
      </c>
      <c r="U152" s="9" t="s">
        <v>2443</v>
      </c>
      <c r="V152" s="23" t="s">
        <v>3505</v>
      </c>
      <c r="W152" s="23" t="s">
        <v>1545</v>
      </c>
      <c r="X152" s="23">
        <v>2830</v>
      </c>
      <c r="Y152" s="60">
        <v>94007.182</v>
      </c>
      <c r="Z152" s="60">
        <v>98703.839</v>
      </c>
      <c r="AA152" s="2" t="s">
        <v>3741</v>
      </c>
      <c r="AB152" s="66"/>
      <c r="AC152" s="66"/>
      <c r="AD152" s="66"/>
      <c r="AE152" s="66"/>
      <c r="AF152" s="66"/>
      <c r="AG152" s="66"/>
      <c r="AH152" s="43"/>
      <c r="AI152" s="43"/>
      <c r="AJ152" s="2"/>
      <c r="AK152" s="1"/>
      <c r="AL152" s="1"/>
      <c r="AM152" s="1"/>
      <c r="AN152" s="44">
        <f t="shared" si="2"/>
        <v>0</v>
      </c>
      <c r="AO152" s="45">
        <f t="shared" si="3"/>
        <v>0</v>
      </c>
      <c r="AP152" s="66"/>
    </row>
    <row r="153" spans="1:42" ht="12.75">
      <c r="A153" s="2">
        <v>122</v>
      </c>
      <c r="B153" s="2">
        <v>128</v>
      </c>
      <c r="C153" s="1" t="s">
        <v>3828</v>
      </c>
      <c r="D153" s="1" t="s">
        <v>6</v>
      </c>
      <c r="E153" s="13">
        <v>3</v>
      </c>
      <c r="F153" s="2" t="s">
        <v>1546</v>
      </c>
      <c r="G153" s="2" t="s">
        <v>1547</v>
      </c>
      <c r="H153" s="2" t="s">
        <v>2486</v>
      </c>
      <c r="I153" s="1" t="s">
        <v>4166</v>
      </c>
      <c r="J153" s="1" t="s">
        <v>4127</v>
      </c>
      <c r="K153" s="63">
        <v>29104391</v>
      </c>
      <c r="L153" s="1" t="s">
        <v>2438</v>
      </c>
      <c r="M153" s="1">
        <v>3447000</v>
      </c>
      <c r="N153" s="1" t="s">
        <v>3735</v>
      </c>
      <c r="O153" s="1" t="s">
        <v>4181</v>
      </c>
      <c r="P153" s="1">
        <v>3428</v>
      </c>
      <c r="Q153" s="64">
        <v>43073</v>
      </c>
      <c r="R153" s="64">
        <v>46724</v>
      </c>
      <c r="S153" s="62" t="s">
        <v>2440</v>
      </c>
      <c r="T153" s="1" t="s">
        <v>2442</v>
      </c>
      <c r="U153" s="2" t="s">
        <v>2444</v>
      </c>
      <c r="V153" s="23" t="s">
        <v>3506</v>
      </c>
      <c r="W153" s="23" t="s">
        <v>3507</v>
      </c>
      <c r="X153" s="23">
        <v>2832</v>
      </c>
      <c r="Y153" s="60">
        <v>93997.04</v>
      </c>
      <c r="Z153" s="60">
        <v>98699.21</v>
      </c>
      <c r="AA153" s="2" t="s">
        <v>3741</v>
      </c>
      <c r="AB153" s="66"/>
      <c r="AC153" s="66"/>
      <c r="AD153" s="66"/>
      <c r="AE153" s="66"/>
      <c r="AF153" s="66"/>
      <c r="AG153" s="66"/>
      <c r="AH153" s="43"/>
      <c r="AI153" s="43"/>
      <c r="AJ153" s="2"/>
      <c r="AK153" s="1"/>
      <c r="AL153" s="1"/>
      <c r="AM153" s="1"/>
      <c r="AN153" s="44">
        <f t="shared" si="2"/>
        <v>0</v>
      </c>
      <c r="AO153" s="45">
        <f t="shared" si="3"/>
        <v>0</v>
      </c>
      <c r="AP153" s="13" t="s">
        <v>2413</v>
      </c>
    </row>
    <row r="154" spans="1:42" ht="12.75">
      <c r="A154" s="2">
        <v>123</v>
      </c>
      <c r="B154" s="2">
        <v>129</v>
      </c>
      <c r="C154" s="1" t="s">
        <v>3828</v>
      </c>
      <c r="D154" s="1" t="s">
        <v>6</v>
      </c>
      <c r="E154" s="13">
        <v>3</v>
      </c>
      <c r="F154" s="2" t="s">
        <v>2196</v>
      </c>
      <c r="G154" s="2" t="s">
        <v>2197</v>
      </c>
      <c r="H154" s="2" t="s">
        <v>2486</v>
      </c>
      <c r="I154" s="1" t="s">
        <v>4166</v>
      </c>
      <c r="J154" s="1" t="s">
        <v>4127</v>
      </c>
      <c r="K154" s="63">
        <v>29104391</v>
      </c>
      <c r="L154" s="1" t="s">
        <v>2438</v>
      </c>
      <c r="M154" s="1">
        <v>3447000</v>
      </c>
      <c r="N154" s="1" t="s">
        <v>3735</v>
      </c>
      <c r="O154" s="1" t="s">
        <v>4181</v>
      </c>
      <c r="P154" s="1">
        <v>3428</v>
      </c>
      <c r="Q154" s="64">
        <v>43073</v>
      </c>
      <c r="R154" s="64">
        <v>46724</v>
      </c>
      <c r="S154" s="62" t="s">
        <v>2440</v>
      </c>
      <c r="T154" s="29" t="s">
        <v>2441</v>
      </c>
      <c r="U154" s="2" t="s">
        <v>2444</v>
      </c>
      <c r="V154" s="23" t="s">
        <v>3508</v>
      </c>
      <c r="W154" s="23" t="s">
        <v>3509</v>
      </c>
      <c r="X154" s="23">
        <v>2822</v>
      </c>
      <c r="Y154" s="60">
        <v>94042.82</v>
      </c>
      <c r="Z154" s="60">
        <v>98652.33</v>
      </c>
      <c r="AA154" s="2" t="s">
        <v>3741</v>
      </c>
      <c r="AB154" s="66"/>
      <c r="AC154" s="66"/>
      <c r="AD154" s="66"/>
      <c r="AE154" s="66"/>
      <c r="AF154" s="66"/>
      <c r="AG154" s="66"/>
      <c r="AH154" s="43"/>
      <c r="AI154" s="43"/>
      <c r="AJ154" s="2"/>
      <c r="AK154" s="1"/>
      <c r="AL154" s="1"/>
      <c r="AM154" s="1"/>
      <c r="AN154" s="44">
        <f t="shared" si="2"/>
        <v>0</v>
      </c>
      <c r="AO154" s="45">
        <f t="shared" si="3"/>
        <v>0</v>
      </c>
      <c r="AP154" s="13" t="s">
        <v>2413</v>
      </c>
    </row>
    <row r="155" spans="1:42" ht="12.75">
      <c r="A155" s="2">
        <v>124</v>
      </c>
      <c r="B155" s="2">
        <v>130</v>
      </c>
      <c r="C155" s="1" t="s">
        <v>3828</v>
      </c>
      <c r="D155" s="1" t="s">
        <v>6</v>
      </c>
      <c r="E155" s="13">
        <v>3</v>
      </c>
      <c r="F155" s="2" t="s">
        <v>2198</v>
      </c>
      <c r="G155" s="2" t="s">
        <v>2199</v>
      </c>
      <c r="H155" s="2" t="s">
        <v>2486</v>
      </c>
      <c r="I155" s="1" t="s">
        <v>4166</v>
      </c>
      <c r="J155" s="1" t="s">
        <v>4127</v>
      </c>
      <c r="K155" s="63">
        <v>29104391</v>
      </c>
      <c r="L155" s="1" t="s">
        <v>2438</v>
      </c>
      <c r="M155" s="1">
        <v>3447000</v>
      </c>
      <c r="N155" s="1" t="s">
        <v>3735</v>
      </c>
      <c r="O155" s="1" t="s">
        <v>4181</v>
      </c>
      <c r="P155" s="1">
        <v>3428</v>
      </c>
      <c r="Q155" s="64">
        <v>43073</v>
      </c>
      <c r="R155" s="64">
        <v>46724</v>
      </c>
      <c r="S155" s="62" t="s">
        <v>2440</v>
      </c>
      <c r="T155" s="29" t="s">
        <v>2441</v>
      </c>
      <c r="U155" s="2" t="s">
        <v>2444</v>
      </c>
      <c r="V155" s="23" t="s">
        <v>3510</v>
      </c>
      <c r="W155" s="23" t="s">
        <v>3511</v>
      </c>
      <c r="X155" s="23">
        <v>2814</v>
      </c>
      <c r="Y155" s="60">
        <v>94081.53</v>
      </c>
      <c r="Z155" s="60">
        <v>98605.15</v>
      </c>
      <c r="AA155" s="2" t="s">
        <v>3741</v>
      </c>
      <c r="AB155" s="66"/>
      <c r="AC155" s="66"/>
      <c r="AD155" s="66"/>
      <c r="AE155" s="66"/>
      <c r="AF155" s="66"/>
      <c r="AG155" s="66"/>
      <c r="AH155" s="43"/>
      <c r="AI155" s="43"/>
      <c r="AJ155" s="2"/>
      <c r="AK155" s="1"/>
      <c r="AL155" s="1"/>
      <c r="AM155" s="1"/>
      <c r="AN155" s="44">
        <f t="shared" si="2"/>
        <v>0</v>
      </c>
      <c r="AO155" s="45">
        <f t="shared" si="3"/>
        <v>0</v>
      </c>
      <c r="AP155" s="13" t="s">
        <v>2413</v>
      </c>
    </row>
    <row r="156" spans="1:42" ht="12.75">
      <c r="A156" s="2">
        <v>125</v>
      </c>
      <c r="B156" s="2">
        <v>131</v>
      </c>
      <c r="C156" s="1" t="s">
        <v>3828</v>
      </c>
      <c r="D156" s="1" t="s">
        <v>6</v>
      </c>
      <c r="E156" s="13">
        <v>3</v>
      </c>
      <c r="F156" s="13" t="s">
        <v>1548</v>
      </c>
      <c r="G156" s="2" t="s">
        <v>1549</v>
      </c>
      <c r="H156" s="2" t="s">
        <v>2486</v>
      </c>
      <c r="I156" s="1" t="s">
        <v>4166</v>
      </c>
      <c r="J156" s="1" t="s">
        <v>4127</v>
      </c>
      <c r="K156" s="63">
        <v>29104391</v>
      </c>
      <c r="L156" s="1" t="s">
        <v>2438</v>
      </c>
      <c r="M156" s="1">
        <v>3447000</v>
      </c>
      <c r="N156" s="1" t="s">
        <v>3735</v>
      </c>
      <c r="O156" s="1" t="s">
        <v>4181</v>
      </c>
      <c r="P156" s="1">
        <v>3428</v>
      </c>
      <c r="Q156" s="64">
        <v>43073</v>
      </c>
      <c r="R156" s="64">
        <v>46724</v>
      </c>
      <c r="S156" s="62" t="s">
        <v>2440</v>
      </c>
      <c r="T156" s="29" t="s">
        <v>2441</v>
      </c>
      <c r="U156" s="2" t="s">
        <v>2444</v>
      </c>
      <c r="V156" s="23" t="s">
        <v>3512</v>
      </c>
      <c r="W156" s="23" t="s">
        <v>3513</v>
      </c>
      <c r="X156" s="23">
        <v>2809</v>
      </c>
      <c r="Y156" s="60">
        <v>94111.65</v>
      </c>
      <c r="Z156" s="60">
        <v>98580.47</v>
      </c>
      <c r="AA156" s="2" t="s">
        <v>3741</v>
      </c>
      <c r="AB156" s="66"/>
      <c r="AC156" s="66"/>
      <c r="AD156" s="93"/>
      <c r="AE156" s="93"/>
      <c r="AF156" s="93"/>
      <c r="AG156" s="93"/>
      <c r="AH156" s="93"/>
      <c r="AI156" s="93"/>
      <c r="AJ156" s="93"/>
      <c r="AK156" s="93"/>
      <c r="AL156" s="93"/>
      <c r="AM156" s="93"/>
      <c r="AN156" s="117">
        <f t="shared" si="2"/>
        <v>0</v>
      </c>
      <c r="AO156" s="118">
        <f t="shared" si="3"/>
        <v>0</v>
      </c>
      <c r="AP156" s="13" t="s">
        <v>2413</v>
      </c>
    </row>
    <row r="157" spans="1:42" ht="12.75">
      <c r="A157" s="2">
        <v>126</v>
      </c>
      <c r="B157" s="2">
        <v>132</v>
      </c>
      <c r="C157" s="1" t="s">
        <v>3828</v>
      </c>
      <c r="D157" s="1" t="s">
        <v>6</v>
      </c>
      <c r="E157" s="13">
        <v>3</v>
      </c>
      <c r="F157" s="13" t="s">
        <v>2200</v>
      </c>
      <c r="G157" s="2" t="s">
        <v>2201</v>
      </c>
      <c r="H157" s="2" t="s">
        <v>2486</v>
      </c>
      <c r="I157" s="1" t="s">
        <v>4166</v>
      </c>
      <c r="J157" s="1" t="s">
        <v>4127</v>
      </c>
      <c r="K157" s="63">
        <v>29104391</v>
      </c>
      <c r="L157" s="1" t="s">
        <v>2438</v>
      </c>
      <c r="M157" s="1">
        <v>3447000</v>
      </c>
      <c r="N157" s="1" t="s">
        <v>3735</v>
      </c>
      <c r="O157" s="1" t="s">
        <v>4181</v>
      </c>
      <c r="P157" s="1">
        <v>3428</v>
      </c>
      <c r="Q157" s="64">
        <v>43073</v>
      </c>
      <c r="R157" s="64">
        <v>46724</v>
      </c>
      <c r="S157" s="62" t="s">
        <v>2440</v>
      </c>
      <c r="T157" s="1" t="s">
        <v>2442</v>
      </c>
      <c r="U157" s="2" t="s">
        <v>2444</v>
      </c>
      <c r="V157" s="23" t="s">
        <v>3514</v>
      </c>
      <c r="W157" s="23" t="s">
        <v>3515</v>
      </c>
      <c r="X157" s="23">
        <v>2813</v>
      </c>
      <c r="Y157" s="60">
        <v>94079.38</v>
      </c>
      <c r="Z157" s="60">
        <v>98597.13</v>
      </c>
      <c r="AA157" s="2" t="s">
        <v>3741</v>
      </c>
      <c r="AB157" s="66"/>
      <c r="AC157" s="66"/>
      <c r="AD157" s="66"/>
      <c r="AE157" s="66"/>
      <c r="AF157" s="66"/>
      <c r="AG157" s="66"/>
      <c r="AH157" s="43"/>
      <c r="AI157" s="43"/>
      <c r="AJ157" s="2"/>
      <c r="AK157" s="1"/>
      <c r="AL157" s="1"/>
      <c r="AM157" s="1"/>
      <c r="AN157" s="44">
        <f t="shared" si="2"/>
        <v>0</v>
      </c>
      <c r="AO157" s="45">
        <f t="shared" si="3"/>
        <v>0</v>
      </c>
      <c r="AP157" s="13" t="s">
        <v>2413</v>
      </c>
    </row>
    <row r="158" spans="1:42" ht="48" customHeight="1">
      <c r="A158" s="2">
        <v>127</v>
      </c>
      <c r="B158" s="2">
        <v>133</v>
      </c>
      <c r="C158" s="1" t="s">
        <v>3828</v>
      </c>
      <c r="D158" s="1" t="s">
        <v>6</v>
      </c>
      <c r="E158" s="13">
        <v>3</v>
      </c>
      <c r="F158" s="13" t="s">
        <v>1550</v>
      </c>
      <c r="G158" s="2" t="s">
        <v>1551</v>
      </c>
      <c r="H158" s="2" t="s">
        <v>2486</v>
      </c>
      <c r="I158" s="1" t="s">
        <v>4166</v>
      </c>
      <c r="J158" s="1" t="s">
        <v>4127</v>
      </c>
      <c r="K158" s="63">
        <v>29104391</v>
      </c>
      <c r="L158" s="1" t="s">
        <v>2438</v>
      </c>
      <c r="M158" s="1">
        <v>3447000</v>
      </c>
      <c r="N158" s="1" t="s">
        <v>3735</v>
      </c>
      <c r="O158" s="1" t="s">
        <v>4181</v>
      </c>
      <c r="P158" s="1">
        <v>3428</v>
      </c>
      <c r="Q158" s="64">
        <v>43073</v>
      </c>
      <c r="R158" s="64">
        <v>46724</v>
      </c>
      <c r="S158" s="62" t="s">
        <v>2440</v>
      </c>
      <c r="T158" s="1" t="s">
        <v>2442</v>
      </c>
      <c r="U158" s="2" t="s">
        <v>2444</v>
      </c>
      <c r="V158" s="23" t="s">
        <v>3516</v>
      </c>
      <c r="W158" s="23" t="s">
        <v>3517</v>
      </c>
      <c r="X158" s="23">
        <v>2789</v>
      </c>
      <c r="Y158" s="60">
        <v>94142.36</v>
      </c>
      <c r="Z158" s="60">
        <v>98407.47</v>
      </c>
      <c r="AA158" s="2" t="s">
        <v>3842</v>
      </c>
      <c r="AB158" s="67">
        <v>43714</v>
      </c>
      <c r="AC158" s="50">
        <v>0.48055555555555557</v>
      </c>
      <c r="AD158" s="93"/>
      <c r="AE158" s="93"/>
      <c r="AF158" s="93"/>
      <c r="AG158" s="93"/>
      <c r="AH158" s="93"/>
      <c r="AI158" s="93"/>
      <c r="AJ158" s="93"/>
      <c r="AK158" s="93"/>
      <c r="AL158" s="93"/>
      <c r="AM158" s="93"/>
      <c r="AN158" s="117">
        <f t="shared" si="2"/>
        <v>0</v>
      </c>
      <c r="AO158" s="118">
        <f t="shared" si="3"/>
        <v>0</v>
      </c>
      <c r="AP158" s="13" t="s">
        <v>2413</v>
      </c>
    </row>
    <row r="159" spans="1:42" ht="81" customHeight="1">
      <c r="A159" s="2">
        <v>128</v>
      </c>
      <c r="B159" s="2">
        <v>134</v>
      </c>
      <c r="C159" s="1" t="s">
        <v>3828</v>
      </c>
      <c r="D159" s="1" t="s">
        <v>6</v>
      </c>
      <c r="E159" s="13">
        <v>3</v>
      </c>
      <c r="F159" s="13" t="s">
        <v>1552</v>
      </c>
      <c r="G159" s="2" t="s">
        <v>2117</v>
      </c>
      <c r="H159" s="2" t="s">
        <v>2486</v>
      </c>
      <c r="I159" s="1" t="s">
        <v>4166</v>
      </c>
      <c r="J159" s="1" t="s">
        <v>4127</v>
      </c>
      <c r="K159" s="63">
        <v>29104391</v>
      </c>
      <c r="L159" s="1" t="s">
        <v>2438</v>
      </c>
      <c r="M159" s="1">
        <v>3447000</v>
      </c>
      <c r="N159" s="1" t="s">
        <v>3735</v>
      </c>
      <c r="O159" s="1" t="s">
        <v>4181</v>
      </c>
      <c r="P159" s="1">
        <v>3428</v>
      </c>
      <c r="Q159" s="64">
        <v>43073</v>
      </c>
      <c r="R159" s="64">
        <v>46724</v>
      </c>
      <c r="S159" s="62" t="s">
        <v>2440</v>
      </c>
      <c r="T159" s="29" t="s">
        <v>2441</v>
      </c>
      <c r="U159" s="2" t="s">
        <v>2444</v>
      </c>
      <c r="V159" s="23" t="s">
        <v>3518</v>
      </c>
      <c r="W159" s="23" t="s">
        <v>3519</v>
      </c>
      <c r="X159" s="23">
        <v>2788</v>
      </c>
      <c r="Y159" s="60">
        <v>94155.88</v>
      </c>
      <c r="Z159" s="60">
        <v>98408.4</v>
      </c>
      <c r="AA159" s="2" t="s">
        <v>4111</v>
      </c>
      <c r="AB159" s="67">
        <v>43699</v>
      </c>
      <c r="AC159" s="50" t="s">
        <v>2505</v>
      </c>
      <c r="AD159" s="69">
        <v>315</v>
      </c>
      <c r="AE159" s="69">
        <v>240</v>
      </c>
      <c r="AF159" s="69">
        <v>8.69</v>
      </c>
      <c r="AG159" s="69">
        <v>24</v>
      </c>
      <c r="AH159" s="102">
        <f>AF159*AD159*AG159*0.0036</f>
        <v>236.50703999999996</v>
      </c>
      <c r="AI159" s="102">
        <f>AF159*AE159*AG159*0.0036</f>
        <v>180.19583999999998</v>
      </c>
      <c r="AJ159" s="2">
        <v>30</v>
      </c>
      <c r="AK159" s="1">
        <v>12</v>
      </c>
      <c r="AL159" s="1">
        <v>0.56</v>
      </c>
      <c r="AM159" s="1">
        <v>0.62</v>
      </c>
      <c r="AN159" s="117">
        <f>AH159*AJ159*AK159*AL159</f>
        <v>47679.819264</v>
      </c>
      <c r="AO159" s="118">
        <f>AI159*AJ159*AK159*AM159</f>
        <v>40219.711488</v>
      </c>
      <c r="AP159" s="13" t="s">
        <v>2413</v>
      </c>
    </row>
    <row r="160" spans="1:42" ht="41.25" customHeight="1">
      <c r="A160" s="2">
        <v>129</v>
      </c>
      <c r="B160" s="2">
        <v>135</v>
      </c>
      <c r="C160" s="1" t="s">
        <v>3828</v>
      </c>
      <c r="D160" s="1" t="s">
        <v>6</v>
      </c>
      <c r="E160" s="13">
        <v>3</v>
      </c>
      <c r="F160" s="13" t="s">
        <v>1553</v>
      </c>
      <c r="G160" s="2" t="s">
        <v>1551</v>
      </c>
      <c r="H160" s="2" t="s">
        <v>2486</v>
      </c>
      <c r="I160" s="1" t="s">
        <v>4166</v>
      </c>
      <c r="J160" s="1" t="s">
        <v>4127</v>
      </c>
      <c r="K160" s="63">
        <v>29104391</v>
      </c>
      <c r="L160" s="1" t="s">
        <v>2438</v>
      </c>
      <c r="M160" s="1">
        <v>3447000</v>
      </c>
      <c r="N160" s="1" t="s">
        <v>3735</v>
      </c>
      <c r="O160" s="1" t="s">
        <v>4181</v>
      </c>
      <c r="P160" s="1">
        <v>3428</v>
      </c>
      <c r="Q160" s="64">
        <v>43073</v>
      </c>
      <c r="R160" s="64">
        <v>46724</v>
      </c>
      <c r="S160" s="62" t="s">
        <v>2440</v>
      </c>
      <c r="T160" s="1" t="s">
        <v>2442</v>
      </c>
      <c r="U160" s="2" t="s">
        <v>2444</v>
      </c>
      <c r="V160" s="23" t="s">
        <v>3520</v>
      </c>
      <c r="W160" s="23" t="s">
        <v>3521</v>
      </c>
      <c r="X160" s="23">
        <v>2788</v>
      </c>
      <c r="Y160" s="60">
        <v>94149.74</v>
      </c>
      <c r="Z160" s="60">
        <v>98400.69</v>
      </c>
      <c r="AA160" s="2" t="s">
        <v>3744</v>
      </c>
      <c r="AB160" s="67">
        <v>43714</v>
      </c>
      <c r="AC160" s="2" t="s">
        <v>2475</v>
      </c>
      <c r="AD160" s="69">
        <v>7</v>
      </c>
      <c r="AE160" s="69">
        <v>6</v>
      </c>
      <c r="AF160" s="69">
        <v>1.246</v>
      </c>
      <c r="AG160" s="69">
        <v>24</v>
      </c>
      <c r="AH160" s="43">
        <f>AF160*AD160*AG160*0.0036</f>
        <v>0.7535807999999999</v>
      </c>
      <c r="AI160" s="43">
        <f>AF160*AE160*AG160*0.0036</f>
        <v>0.6459264</v>
      </c>
      <c r="AJ160" s="2">
        <v>30</v>
      </c>
      <c r="AK160" s="1">
        <v>12</v>
      </c>
      <c r="AL160" s="1">
        <v>0.59</v>
      </c>
      <c r="AM160" s="1">
        <v>0.58</v>
      </c>
      <c r="AN160" s="117">
        <f aca="true" t="shared" si="4" ref="AN160:AN232">AH160*AJ160*AK160*AL160</f>
        <v>160.06056192</v>
      </c>
      <c r="AO160" s="118">
        <f aca="true" t="shared" si="5" ref="AO160:AO232">AI160*AJ160*AK160*AM160</f>
        <v>134.86943232</v>
      </c>
      <c r="AP160" s="13" t="s">
        <v>2413</v>
      </c>
    </row>
    <row r="161" spans="1:42" ht="42.75" customHeight="1">
      <c r="A161" s="2"/>
      <c r="B161" s="2">
        <v>136</v>
      </c>
      <c r="C161" s="1" t="s">
        <v>3828</v>
      </c>
      <c r="D161" s="1" t="s">
        <v>6</v>
      </c>
      <c r="E161" s="13">
        <v>3</v>
      </c>
      <c r="F161" s="13" t="s">
        <v>3843</v>
      </c>
      <c r="G161" s="2" t="s">
        <v>1551</v>
      </c>
      <c r="H161" s="2" t="s">
        <v>2486</v>
      </c>
      <c r="I161" s="1" t="s">
        <v>4166</v>
      </c>
      <c r="J161" s="1" t="s">
        <v>4127</v>
      </c>
      <c r="K161" s="63">
        <v>29104391</v>
      </c>
      <c r="L161" s="1" t="s">
        <v>2438</v>
      </c>
      <c r="M161" s="1">
        <v>3447000</v>
      </c>
      <c r="N161" s="1" t="s">
        <v>3735</v>
      </c>
      <c r="O161" s="1" t="s">
        <v>4181</v>
      </c>
      <c r="P161" s="1">
        <v>3428</v>
      </c>
      <c r="Q161" s="64">
        <v>43073</v>
      </c>
      <c r="R161" s="64">
        <v>46724</v>
      </c>
      <c r="S161" s="62" t="s">
        <v>2440</v>
      </c>
      <c r="T161" s="1" t="s">
        <v>2442</v>
      </c>
      <c r="U161" s="2" t="s">
        <v>2444</v>
      </c>
      <c r="V161" s="23" t="s">
        <v>3844</v>
      </c>
      <c r="W161" s="23" t="s">
        <v>3845</v>
      </c>
      <c r="X161" s="23">
        <v>2788</v>
      </c>
      <c r="Y161" s="60"/>
      <c r="Z161" s="60"/>
      <c r="AA161" s="2" t="s">
        <v>4112</v>
      </c>
      <c r="AB161" s="67">
        <v>43699</v>
      </c>
      <c r="AC161" s="2" t="s">
        <v>2472</v>
      </c>
      <c r="AD161" s="69">
        <v>322</v>
      </c>
      <c r="AE161" s="69">
        <v>333</v>
      </c>
      <c r="AF161" s="69">
        <v>4.82</v>
      </c>
      <c r="AG161" s="69">
        <v>24</v>
      </c>
      <c r="AH161" s="102">
        <f>AF161*AD161*AG161*0.0036</f>
        <v>134.096256</v>
      </c>
      <c r="AI161" s="102">
        <f>AF161*AE161*AG161*0.0036</f>
        <v>138.677184</v>
      </c>
      <c r="AJ161" s="2">
        <v>30</v>
      </c>
      <c r="AK161" s="1">
        <v>12</v>
      </c>
      <c r="AL161" s="1">
        <v>0.56</v>
      </c>
      <c r="AM161" s="1">
        <v>0.62</v>
      </c>
      <c r="AN161" s="44">
        <f>AH161*AJ161*AK161*AL161</f>
        <v>27033.805209600006</v>
      </c>
      <c r="AO161" s="45">
        <f>AI161*AJ161*AK161*AM161</f>
        <v>30952.7474688</v>
      </c>
      <c r="AP161" s="13"/>
    </row>
    <row r="162" spans="1:42" ht="41.25" customHeight="1">
      <c r="A162" s="2">
        <v>130</v>
      </c>
      <c r="B162" s="2">
        <v>137</v>
      </c>
      <c r="C162" s="1" t="s">
        <v>3828</v>
      </c>
      <c r="D162" s="1" t="s">
        <v>6</v>
      </c>
      <c r="E162" s="13">
        <v>3</v>
      </c>
      <c r="F162" s="13" t="s">
        <v>1554</v>
      </c>
      <c r="G162" s="2" t="s">
        <v>1555</v>
      </c>
      <c r="H162" s="2" t="s">
        <v>2486</v>
      </c>
      <c r="I162" s="1" t="s">
        <v>4166</v>
      </c>
      <c r="J162" s="1" t="s">
        <v>4127</v>
      </c>
      <c r="K162" s="63">
        <v>29104391</v>
      </c>
      <c r="L162" s="1" t="s">
        <v>2438</v>
      </c>
      <c r="M162" s="1">
        <v>3447000</v>
      </c>
      <c r="N162" s="1" t="s">
        <v>3735</v>
      </c>
      <c r="O162" s="1" t="s">
        <v>4181</v>
      </c>
      <c r="P162" s="1">
        <v>3428</v>
      </c>
      <c r="Q162" s="64">
        <v>43073</v>
      </c>
      <c r="R162" s="64">
        <v>46724</v>
      </c>
      <c r="S162" s="62" t="s">
        <v>2440</v>
      </c>
      <c r="T162" s="29" t="s">
        <v>2441</v>
      </c>
      <c r="U162" s="2" t="s">
        <v>2443</v>
      </c>
      <c r="V162" s="23" t="s">
        <v>3522</v>
      </c>
      <c r="W162" s="23" t="s">
        <v>3523</v>
      </c>
      <c r="X162" s="23">
        <v>2776</v>
      </c>
      <c r="Y162" s="60">
        <v>94213.04</v>
      </c>
      <c r="Z162" s="60">
        <v>98334.38</v>
      </c>
      <c r="AA162" s="2" t="s">
        <v>3744</v>
      </c>
      <c r="AB162" s="67">
        <v>43714</v>
      </c>
      <c r="AC162" s="2" t="s">
        <v>2461</v>
      </c>
      <c r="AD162" s="69">
        <v>224</v>
      </c>
      <c r="AE162" s="69">
        <v>230</v>
      </c>
      <c r="AF162" s="69">
        <v>0.461</v>
      </c>
      <c r="AG162" s="69">
        <v>24</v>
      </c>
      <c r="AH162" s="43">
        <f>AF162*AD162*AG162*0.0036</f>
        <v>8.9220096</v>
      </c>
      <c r="AI162" s="43">
        <f>AF162*AE162*AG162*0.0036</f>
        <v>9.160992</v>
      </c>
      <c r="AJ162" s="2">
        <v>30</v>
      </c>
      <c r="AK162" s="1">
        <v>12</v>
      </c>
      <c r="AL162" s="1">
        <v>0.58</v>
      </c>
      <c r="AM162" s="1">
        <v>0.59</v>
      </c>
      <c r="AN162" s="117">
        <f>AH162*AJ162*AK162*AL162</f>
        <v>1862.9156044800002</v>
      </c>
      <c r="AO162" s="118">
        <f>AI162*AJ162*AK162*AM162</f>
        <v>1945.7947007999999</v>
      </c>
      <c r="AP162" s="13" t="s">
        <v>2413</v>
      </c>
    </row>
    <row r="163" spans="1:42" ht="12.75">
      <c r="A163" s="2">
        <v>131</v>
      </c>
      <c r="B163" s="2">
        <v>138</v>
      </c>
      <c r="C163" s="1" t="s">
        <v>3828</v>
      </c>
      <c r="D163" s="1" t="s">
        <v>6</v>
      </c>
      <c r="E163" s="13">
        <v>3</v>
      </c>
      <c r="F163" s="13" t="s">
        <v>2202</v>
      </c>
      <c r="G163" s="2" t="s">
        <v>2203</v>
      </c>
      <c r="H163" s="2" t="s">
        <v>2486</v>
      </c>
      <c r="I163" s="1" t="s">
        <v>4166</v>
      </c>
      <c r="J163" s="1" t="s">
        <v>4127</v>
      </c>
      <c r="K163" s="63">
        <v>29104391</v>
      </c>
      <c r="L163" s="1" t="s">
        <v>2438</v>
      </c>
      <c r="M163" s="1">
        <v>3447000</v>
      </c>
      <c r="N163" s="1" t="s">
        <v>3735</v>
      </c>
      <c r="O163" s="1" t="s">
        <v>4181</v>
      </c>
      <c r="P163" s="1">
        <v>3428</v>
      </c>
      <c r="Q163" s="64">
        <v>43073</v>
      </c>
      <c r="R163" s="64">
        <v>46724</v>
      </c>
      <c r="S163" s="62" t="s">
        <v>2440</v>
      </c>
      <c r="T163" s="29" t="s">
        <v>2441</v>
      </c>
      <c r="U163" s="2" t="s">
        <v>2444</v>
      </c>
      <c r="V163" s="23" t="s">
        <v>3524</v>
      </c>
      <c r="W163" s="23" t="s">
        <v>3525</v>
      </c>
      <c r="X163" s="23">
        <v>2761</v>
      </c>
      <c r="Y163" s="60">
        <v>94300.61</v>
      </c>
      <c r="Z163" s="60">
        <v>98211.02</v>
      </c>
      <c r="AA163" s="2" t="s">
        <v>3741</v>
      </c>
      <c r="AB163" s="66"/>
      <c r="AC163" s="66"/>
      <c r="AD163" s="66"/>
      <c r="AE163" s="66"/>
      <c r="AF163" s="66"/>
      <c r="AG163" s="66"/>
      <c r="AH163" s="43"/>
      <c r="AI163" s="43"/>
      <c r="AJ163" s="2"/>
      <c r="AK163" s="1"/>
      <c r="AL163" s="1"/>
      <c r="AM163" s="1"/>
      <c r="AN163" s="44">
        <f t="shared" si="4"/>
        <v>0</v>
      </c>
      <c r="AO163" s="45">
        <f t="shared" si="5"/>
        <v>0</v>
      </c>
      <c r="AP163" s="13" t="s">
        <v>2413</v>
      </c>
    </row>
    <row r="164" spans="1:42" ht="12.75">
      <c r="A164" s="2">
        <v>132</v>
      </c>
      <c r="B164" s="2">
        <v>139</v>
      </c>
      <c r="C164" s="1" t="s">
        <v>3828</v>
      </c>
      <c r="D164" s="1" t="s">
        <v>6</v>
      </c>
      <c r="E164" s="13">
        <v>3</v>
      </c>
      <c r="F164" s="13" t="s">
        <v>2204</v>
      </c>
      <c r="G164" s="2" t="s">
        <v>2205</v>
      </c>
      <c r="H164" s="2" t="s">
        <v>2486</v>
      </c>
      <c r="I164" s="1" t="s">
        <v>4166</v>
      </c>
      <c r="J164" s="1" t="s">
        <v>4127</v>
      </c>
      <c r="K164" s="63">
        <v>29104391</v>
      </c>
      <c r="L164" s="1" t="s">
        <v>2438</v>
      </c>
      <c r="M164" s="1">
        <v>3447000</v>
      </c>
      <c r="N164" s="1" t="s">
        <v>3735</v>
      </c>
      <c r="O164" s="1" t="s">
        <v>4181</v>
      </c>
      <c r="P164" s="1">
        <v>3428</v>
      </c>
      <c r="Q164" s="64">
        <v>43073</v>
      </c>
      <c r="R164" s="64">
        <v>46724</v>
      </c>
      <c r="S164" s="62" t="s">
        <v>2440</v>
      </c>
      <c r="T164" s="1" t="s">
        <v>2442</v>
      </c>
      <c r="U164" s="2" t="s">
        <v>2444</v>
      </c>
      <c r="V164" s="23" t="s">
        <v>3526</v>
      </c>
      <c r="W164" s="23" t="s">
        <v>3527</v>
      </c>
      <c r="X164" s="23">
        <v>2754</v>
      </c>
      <c r="Y164" s="60">
        <v>94342.39</v>
      </c>
      <c r="Z164" s="60">
        <v>98145.95</v>
      </c>
      <c r="AA164" s="2" t="s">
        <v>3741</v>
      </c>
      <c r="AB164" s="66"/>
      <c r="AC164" s="66"/>
      <c r="AD164" s="66"/>
      <c r="AE164" s="66"/>
      <c r="AF164" s="66"/>
      <c r="AG164" s="66"/>
      <c r="AH164" s="43"/>
      <c r="AI164" s="43"/>
      <c r="AJ164" s="2"/>
      <c r="AK164" s="1"/>
      <c r="AL164" s="1"/>
      <c r="AM164" s="1"/>
      <c r="AN164" s="44">
        <f t="shared" si="4"/>
        <v>0</v>
      </c>
      <c r="AO164" s="45">
        <f t="shared" si="5"/>
        <v>0</v>
      </c>
      <c r="AP164" s="13" t="s">
        <v>2413</v>
      </c>
    </row>
    <row r="165" spans="1:42" ht="40.5" customHeight="1">
      <c r="A165" s="2">
        <v>133</v>
      </c>
      <c r="B165" s="2">
        <v>140</v>
      </c>
      <c r="C165" s="1" t="s">
        <v>3828</v>
      </c>
      <c r="D165" s="1" t="s">
        <v>6</v>
      </c>
      <c r="E165" s="13">
        <v>3</v>
      </c>
      <c r="F165" s="13" t="s">
        <v>1556</v>
      </c>
      <c r="G165" s="2" t="s">
        <v>1557</v>
      </c>
      <c r="H165" s="2" t="s">
        <v>2486</v>
      </c>
      <c r="I165" s="1" t="s">
        <v>4166</v>
      </c>
      <c r="J165" s="1" t="s">
        <v>4127</v>
      </c>
      <c r="K165" s="63">
        <v>29104391</v>
      </c>
      <c r="L165" s="1" t="s">
        <v>2438</v>
      </c>
      <c r="M165" s="1">
        <v>3447000</v>
      </c>
      <c r="N165" s="1" t="s">
        <v>3735</v>
      </c>
      <c r="O165" s="1" t="s">
        <v>4181</v>
      </c>
      <c r="P165" s="1">
        <v>3428</v>
      </c>
      <c r="Q165" s="64">
        <v>43073</v>
      </c>
      <c r="R165" s="64">
        <v>46724</v>
      </c>
      <c r="S165" s="62" t="s">
        <v>2440</v>
      </c>
      <c r="T165" s="29" t="s">
        <v>2441</v>
      </c>
      <c r="U165" s="2" t="s">
        <v>2444</v>
      </c>
      <c r="V165" s="23" t="s">
        <v>3528</v>
      </c>
      <c r="W165" s="23" t="s">
        <v>3529</v>
      </c>
      <c r="X165" s="23">
        <v>2754</v>
      </c>
      <c r="Y165" s="60">
        <v>94349.46</v>
      </c>
      <c r="Z165" s="60">
        <v>98147.18</v>
      </c>
      <c r="AA165" s="2" t="s">
        <v>3744</v>
      </c>
      <c r="AB165" s="67">
        <v>43717</v>
      </c>
      <c r="AC165" s="2" t="s">
        <v>2412</v>
      </c>
      <c r="AD165" s="69">
        <v>441</v>
      </c>
      <c r="AE165" s="69">
        <v>448</v>
      </c>
      <c r="AF165" s="69">
        <v>0.391</v>
      </c>
      <c r="AG165" s="69">
        <v>24</v>
      </c>
      <c r="AH165" s="43">
        <f>AF165*AD165*AG165*0.0036</f>
        <v>14.898038399999999</v>
      </c>
      <c r="AI165" s="43">
        <f>AF165*AE165*AG165*0.0036</f>
        <v>15.134515200000001</v>
      </c>
      <c r="AJ165" s="2">
        <v>30</v>
      </c>
      <c r="AK165" s="1">
        <v>12</v>
      </c>
      <c r="AL165" s="1">
        <v>0.55</v>
      </c>
      <c r="AM165" s="1">
        <v>0.59</v>
      </c>
      <c r="AN165" s="117">
        <f t="shared" si="4"/>
        <v>2949.8116032000003</v>
      </c>
      <c r="AO165" s="118">
        <f t="shared" si="5"/>
        <v>3214.5710284799998</v>
      </c>
      <c r="AP165" s="13" t="s">
        <v>2413</v>
      </c>
    </row>
    <row r="166" spans="1:42" ht="35.25" customHeight="1">
      <c r="A166" s="2">
        <v>134</v>
      </c>
      <c r="B166" s="2">
        <v>141</v>
      </c>
      <c r="C166" s="1" t="s">
        <v>3828</v>
      </c>
      <c r="D166" s="1" t="s">
        <v>6</v>
      </c>
      <c r="E166" s="13">
        <v>3</v>
      </c>
      <c r="F166" s="13" t="s">
        <v>1558</v>
      </c>
      <c r="G166" s="2" t="s">
        <v>1559</v>
      </c>
      <c r="H166" s="2" t="s">
        <v>2486</v>
      </c>
      <c r="I166" s="1" t="s">
        <v>4166</v>
      </c>
      <c r="J166" s="1" t="s">
        <v>4127</v>
      </c>
      <c r="K166" s="63">
        <v>29104391</v>
      </c>
      <c r="L166" s="1" t="s">
        <v>2438</v>
      </c>
      <c r="M166" s="1">
        <v>3447000</v>
      </c>
      <c r="N166" s="1" t="s">
        <v>3735</v>
      </c>
      <c r="O166" s="1" t="s">
        <v>4181</v>
      </c>
      <c r="P166" s="1">
        <v>3428</v>
      </c>
      <c r="Q166" s="64">
        <v>43073</v>
      </c>
      <c r="R166" s="64">
        <v>46724</v>
      </c>
      <c r="S166" s="62" t="s">
        <v>2440</v>
      </c>
      <c r="T166" s="1" t="s">
        <v>2442</v>
      </c>
      <c r="U166" s="2" t="s">
        <v>2444</v>
      </c>
      <c r="V166" s="23" t="s">
        <v>3530</v>
      </c>
      <c r="W166" s="23" t="s">
        <v>3531</v>
      </c>
      <c r="X166" s="23">
        <v>2722</v>
      </c>
      <c r="Y166" s="60">
        <v>94460.38</v>
      </c>
      <c r="Z166" s="60">
        <v>97922.68</v>
      </c>
      <c r="AA166" s="2" t="s">
        <v>4046</v>
      </c>
      <c r="AB166" s="66"/>
      <c r="AC166" s="66"/>
      <c r="AD166" s="69"/>
      <c r="AE166" s="69"/>
      <c r="AF166" s="69"/>
      <c r="AG166" s="69"/>
      <c r="AH166" s="43"/>
      <c r="AI166" s="43"/>
      <c r="AJ166" s="2"/>
      <c r="AK166" s="1"/>
      <c r="AL166" s="1"/>
      <c r="AM166" s="1"/>
      <c r="AN166" s="117">
        <f>AVERAGE(AN167:AN168)</f>
        <v>221136.905088</v>
      </c>
      <c r="AO166" s="117">
        <f>AVERAGE(AO167:AO168)</f>
        <v>213329.50248960004</v>
      </c>
      <c r="AP166" s="13" t="s">
        <v>2413</v>
      </c>
    </row>
    <row r="167" spans="1:42" ht="35.25" customHeight="1">
      <c r="A167" s="2"/>
      <c r="B167" s="2"/>
      <c r="C167" s="1"/>
      <c r="D167" s="1"/>
      <c r="E167" s="13"/>
      <c r="F167" s="13"/>
      <c r="G167" s="2"/>
      <c r="H167" s="2"/>
      <c r="I167" s="1"/>
      <c r="J167" s="1"/>
      <c r="K167" s="63"/>
      <c r="L167" s="1"/>
      <c r="M167" s="1"/>
      <c r="N167" s="1"/>
      <c r="O167" s="1"/>
      <c r="P167" s="1"/>
      <c r="Q167" s="64"/>
      <c r="R167" s="64"/>
      <c r="S167" s="62"/>
      <c r="T167" s="1"/>
      <c r="U167" s="2"/>
      <c r="V167" s="23"/>
      <c r="W167" s="23"/>
      <c r="X167" s="23"/>
      <c r="Y167" s="60"/>
      <c r="Z167" s="60"/>
      <c r="AA167" s="2" t="s">
        <v>3753</v>
      </c>
      <c r="AB167" s="67">
        <v>43717</v>
      </c>
      <c r="AC167" s="2" t="s">
        <v>3846</v>
      </c>
      <c r="AD167" s="69">
        <v>275</v>
      </c>
      <c r="AE167" s="69">
        <v>284</v>
      </c>
      <c r="AF167" s="69">
        <v>29.48</v>
      </c>
      <c r="AG167" s="69">
        <v>24</v>
      </c>
      <c r="AH167" s="102">
        <f>AF167*AD167*AG167*0.0036</f>
        <v>700.4448</v>
      </c>
      <c r="AI167" s="102">
        <f>AF167*AE167*AG167*0.0036</f>
        <v>723.368448</v>
      </c>
      <c r="AJ167" s="2">
        <v>30</v>
      </c>
      <c r="AK167" s="1">
        <v>12</v>
      </c>
      <c r="AL167" s="1">
        <v>0.6</v>
      </c>
      <c r="AM167" s="1">
        <v>0.56</v>
      </c>
      <c r="AN167" s="127">
        <f>AH167*AJ167*AK167*AL167</f>
        <v>151296.0768</v>
      </c>
      <c r="AO167" s="128">
        <f>AI167*AJ167*AK167*AM167</f>
        <v>145831.0791168</v>
      </c>
      <c r="AP167" s="13"/>
    </row>
    <row r="168" spans="1:42" ht="35.25" customHeight="1">
      <c r="A168" s="2"/>
      <c r="B168" s="2"/>
      <c r="C168" s="1"/>
      <c r="D168" s="1"/>
      <c r="E168" s="13"/>
      <c r="F168" s="13"/>
      <c r="G168" s="2"/>
      <c r="H168" s="2"/>
      <c r="I168" s="1"/>
      <c r="J168" s="1"/>
      <c r="K168" s="63"/>
      <c r="L168" s="1"/>
      <c r="M168" s="1"/>
      <c r="N168" s="1"/>
      <c r="O168" s="1"/>
      <c r="P168" s="1"/>
      <c r="Q168" s="64"/>
      <c r="R168" s="64"/>
      <c r="S168" s="62"/>
      <c r="T168" s="1"/>
      <c r="U168" s="2"/>
      <c r="V168" s="23"/>
      <c r="W168" s="23"/>
      <c r="X168" s="23"/>
      <c r="Y168" s="60"/>
      <c r="Z168" s="60"/>
      <c r="AA168" s="2" t="s">
        <v>4113</v>
      </c>
      <c r="AB168" s="104">
        <v>43656</v>
      </c>
      <c r="AC168" s="82" t="s">
        <v>2412</v>
      </c>
      <c r="AD168" s="69">
        <v>319</v>
      </c>
      <c r="AE168" s="69">
        <v>287</v>
      </c>
      <c r="AF168" s="69">
        <v>53.32</v>
      </c>
      <c r="AG168" s="69">
        <v>24</v>
      </c>
      <c r="AH168" s="102">
        <f>AF168*AD168*AG168*0.0036</f>
        <v>1469.5845120000001</v>
      </c>
      <c r="AI168" s="102">
        <f>AF168*AE168*AG168*0.0036</f>
        <v>1322.1653760000002</v>
      </c>
      <c r="AJ168" s="2">
        <v>30</v>
      </c>
      <c r="AK168" s="1">
        <v>12</v>
      </c>
      <c r="AL168" s="1">
        <v>0.55</v>
      </c>
      <c r="AM168" s="1">
        <v>0.59</v>
      </c>
      <c r="AN168" s="127">
        <f>AH168*AJ168*AK168*AL168</f>
        <v>290977.733376</v>
      </c>
      <c r="AO168" s="128">
        <f>AI168*AJ168*AK168*AM168</f>
        <v>280827.92586240004</v>
      </c>
      <c r="AP168" s="13"/>
    </row>
    <row r="169" spans="1:42" ht="40.5" customHeight="1">
      <c r="A169" s="2">
        <v>135</v>
      </c>
      <c r="B169" s="2">
        <v>142</v>
      </c>
      <c r="C169" s="1" t="s">
        <v>3828</v>
      </c>
      <c r="D169" s="1" t="s">
        <v>6</v>
      </c>
      <c r="E169" s="13">
        <v>3</v>
      </c>
      <c r="F169" s="13" t="s">
        <v>1560</v>
      </c>
      <c r="G169" s="2" t="s">
        <v>1561</v>
      </c>
      <c r="H169" s="2" t="s">
        <v>2486</v>
      </c>
      <c r="I169" s="1" t="s">
        <v>4166</v>
      </c>
      <c r="J169" s="1" t="s">
        <v>4127</v>
      </c>
      <c r="K169" s="63">
        <v>29104391</v>
      </c>
      <c r="L169" s="1" t="s">
        <v>2438</v>
      </c>
      <c r="M169" s="1">
        <v>3447000</v>
      </c>
      <c r="N169" s="1" t="s">
        <v>3735</v>
      </c>
      <c r="O169" s="1" t="s">
        <v>4181</v>
      </c>
      <c r="P169" s="1">
        <v>3428</v>
      </c>
      <c r="Q169" s="64">
        <v>43073</v>
      </c>
      <c r="R169" s="64">
        <v>46724</v>
      </c>
      <c r="S169" s="62" t="s">
        <v>2440</v>
      </c>
      <c r="T169" s="1" t="s">
        <v>2442</v>
      </c>
      <c r="U169" s="2" t="s">
        <v>2443</v>
      </c>
      <c r="V169" s="23" t="s">
        <v>3532</v>
      </c>
      <c r="W169" s="23" t="s">
        <v>3533</v>
      </c>
      <c r="X169" s="23">
        <v>2721</v>
      </c>
      <c r="Y169" s="60">
        <v>94461.3</v>
      </c>
      <c r="Z169" s="60">
        <v>97916.51</v>
      </c>
      <c r="AA169" s="2" t="s">
        <v>3847</v>
      </c>
      <c r="AB169" s="104"/>
      <c r="AC169" s="50"/>
      <c r="AD169" s="93"/>
      <c r="AE169" s="93"/>
      <c r="AF169" s="93"/>
      <c r="AG169" s="93"/>
      <c r="AH169" s="93"/>
      <c r="AI169" s="93"/>
      <c r="AJ169" s="93"/>
      <c r="AK169" s="93"/>
      <c r="AL169" s="93"/>
      <c r="AM169" s="93"/>
      <c r="AN169" s="44">
        <f t="shared" si="4"/>
        <v>0</v>
      </c>
      <c r="AO169" s="45">
        <f t="shared" si="5"/>
        <v>0</v>
      </c>
      <c r="AP169" s="13" t="s">
        <v>2413</v>
      </c>
    </row>
    <row r="170" spans="1:42" ht="51" customHeight="1">
      <c r="A170" s="2">
        <v>136</v>
      </c>
      <c r="B170" s="2">
        <v>143</v>
      </c>
      <c r="C170" s="1" t="s">
        <v>3828</v>
      </c>
      <c r="D170" s="1" t="s">
        <v>6</v>
      </c>
      <c r="E170" s="13">
        <v>3</v>
      </c>
      <c r="F170" s="13" t="s">
        <v>1562</v>
      </c>
      <c r="G170" s="2" t="s">
        <v>1563</v>
      </c>
      <c r="H170" s="2" t="s">
        <v>2486</v>
      </c>
      <c r="I170" s="1" t="s">
        <v>4166</v>
      </c>
      <c r="J170" s="1" t="s">
        <v>4127</v>
      </c>
      <c r="K170" s="63">
        <v>29104391</v>
      </c>
      <c r="L170" s="1" t="s">
        <v>2438</v>
      </c>
      <c r="M170" s="1">
        <v>3447000</v>
      </c>
      <c r="N170" s="1" t="s">
        <v>3735</v>
      </c>
      <c r="O170" s="1" t="s">
        <v>4181</v>
      </c>
      <c r="P170" s="1">
        <v>3428</v>
      </c>
      <c r="Q170" s="64">
        <v>43073</v>
      </c>
      <c r="R170" s="64">
        <v>46724</v>
      </c>
      <c r="S170" s="62" t="s">
        <v>2440</v>
      </c>
      <c r="T170" s="1" t="s">
        <v>2442</v>
      </c>
      <c r="U170" s="2" t="s">
        <v>2444</v>
      </c>
      <c r="V170" s="23" t="s">
        <v>3534</v>
      </c>
      <c r="W170" s="23" t="s">
        <v>3533</v>
      </c>
      <c r="X170" s="23">
        <v>2721</v>
      </c>
      <c r="Y170" s="60">
        <v>94458.23</v>
      </c>
      <c r="Z170" s="60">
        <v>97916.51</v>
      </c>
      <c r="AA170" s="2" t="s">
        <v>3848</v>
      </c>
      <c r="AB170" s="104">
        <v>43718</v>
      </c>
      <c r="AC170" s="50">
        <v>0.4159722222222222</v>
      </c>
      <c r="AD170" s="93"/>
      <c r="AE170" s="93"/>
      <c r="AF170" s="93"/>
      <c r="AG170" s="93"/>
      <c r="AH170" s="93"/>
      <c r="AI170" s="93"/>
      <c r="AJ170" s="93"/>
      <c r="AK170" s="93"/>
      <c r="AL170" s="93"/>
      <c r="AM170" s="93"/>
      <c r="AN170" s="117">
        <f t="shared" si="4"/>
        <v>0</v>
      </c>
      <c r="AO170" s="118">
        <f t="shared" si="5"/>
        <v>0</v>
      </c>
      <c r="AP170" s="13" t="s">
        <v>2413</v>
      </c>
    </row>
    <row r="171" spans="1:42" ht="48.75" customHeight="1">
      <c r="A171" s="2">
        <v>137</v>
      </c>
      <c r="B171" s="2">
        <v>144</v>
      </c>
      <c r="C171" s="1" t="s">
        <v>3828</v>
      </c>
      <c r="D171" s="1" t="s">
        <v>6</v>
      </c>
      <c r="E171" s="13">
        <v>3</v>
      </c>
      <c r="F171" s="13" t="s">
        <v>1564</v>
      </c>
      <c r="G171" s="2" t="s">
        <v>1565</v>
      </c>
      <c r="H171" s="2" t="s">
        <v>2486</v>
      </c>
      <c r="I171" s="1" t="s">
        <v>4166</v>
      </c>
      <c r="J171" s="1" t="s">
        <v>4127</v>
      </c>
      <c r="K171" s="63">
        <v>29104391</v>
      </c>
      <c r="L171" s="1" t="s">
        <v>2438</v>
      </c>
      <c r="M171" s="1">
        <v>3447000</v>
      </c>
      <c r="N171" s="1" t="s">
        <v>3735</v>
      </c>
      <c r="O171" s="1" t="s">
        <v>4181</v>
      </c>
      <c r="P171" s="1">
        <v>3428</v>
      </c>
      <c r="Q171" s="64">
        <v>43073</v>
      </c>
      <c r="R171" s="64">
        <v>46724</v>
      </c>
      <c r="S171" s="62" t="s">
        <v>2440</v>
      </c>
      <c r="T171" s="29" t="s">
        <v>2441</v>
      </c>
      <c r="U171" s="2" t="s">
        <v>2444</v>
      </c>
      <c r="V171" s="23" t="s">
        <v>3535</v>
      </c>
      <c r="W171" s="23" t="s">
        <v>3536</v>
      </c>
      <c r="X171" s="23">
        <v>2720</v>
      </c>
      <c r="Y171" s="60">
        <v>94473.28</v>
      </c>
      <c r="Z171" s="60">
        <v>97911.57</v>
      </c>
      <c r="AA171" s="2" t="s">
        <v>3848</v>
      </c>
      <c r="AB171" s="104">
        <v>43719</v>
      </c>
      <c r="AC171" s="50">
        <v>0.4277777777777778</v>
      </c>
      <c r="AD171" s="93"/>
      <c r="AE171" s="93"/>
      <c r="AF171" s="93"/>
      <c r="AG171" s="93"/>
      <c r="AH171" s="93"/>
      <c r="AI171" s="93"/>
      <c r="AJ171" s="93"/>
      <c r="AK171" s="93"/>
      <c r="AL171" s="93"/>
      <c r="AM171" s="93"/>
      <c r="AN171" s="117">
        <f t="shared" si="4"/>
        <v>0</v>
      </c>
      <c r="AO171" s="118">
        <f t="shared" si="5"/>
        <v>0</v>
      </c>
      <c r="AP171" s="13" t="s">
        <v>2413</v>
      </c>
    </row>
    <row r="172" spans="1:42" ht="65.25" customHeight="1">
      <c r="A172" s="2">
        <v>138</v>
      </c>
      <c r="B172" s="2">
        <v>145</v>
      </c>
      <c r="C172" s="1" t="s">
        <v>3828</v>
      </c>
      <c r="D172" s="1" t="s">
        <v>6</v>
      </c>
      <c r="E172" s="13">
        <v>3</v>
      </c>
      <c r="F172" s="13" t="s">
        <v>1566</v>
      </c>
      <c r="G172" s="2" t="s">
        <v>1567</v>
      </c>
      <c r="H172" s="2" t="s">
        <v>2486</v>
      </c>
      <c r="I172" s="1" t="s">
        <v>4166</v>
      </c>
      <c r="J172" s="1" t="s">
        <v>4127</v>
      </c>
      <c r="K172" s="63">
        <v>29104391</v>
      </c>
      <c r="L172" s="1" t="s">
        <v>2438</v>
      </c>
      <c r="M172" s="1">
        <v>3447000</v>
      </c>
      <c r="N172" s="1" t="s">
        <v>3735</v>
      </c>
      <c r="O172" s="1" t="s">
        <v>4181</v>
      </c>
      <c r="P172" s="1">
        <v>3428</v>
      </c>
      <c r="Q172" s="64">
        <v>43073</v>
      </c>
      <c r="R172" s="64">
        <v>46724</v>
      </c>
      <c r="S172" s="62" t="s">
        <v>2440</v>
      </c>
      <c r="T172" s="29" t="s">
        <v>2441</v>
      </c>
      <c r="U172" s="2" t="s">
        <v>2444</v>
      </c>
      <c r="V172" s="23" t="s">
        <v>3537</v>
      </c>
      <c r="W172" s="23" t="s">
        <v>3538</v>
      </c>
      <c r="X172" s="23">
        <v>2719</v>
      </c>
      <c r="Y172" s="60">
        <v>94492.64</v>
      </c>
      <c r="Z172" s="60">
        <v>97908.18</v>
      </c>
      <c r="AA172" s="2" t="s">
        <v>4162</v>
      </c>
      <c r="AB172" s="83">
        <v>43059</v>
      </c>
      <c r="AC172" s="13" t="s">
        <v>2533</v>
      </c>
      <c r="AD172" s="2">
        <v>364</v>
      </c>
      <c r="AE172" s="2">
        <v>586</v>
      </c>
      <c r="AF172" s="2">
        <v>3.0400000000000005</v>
      </c>
      <c r="AG172" s="69">
        <v>24</v>
      </c>
      <c r="AH172" s="102">
        <f>AF172*AD172*AG172*0.0036</f>
        <v>95.606784</v>
      </c>
      <c r="AI172" s="102">
        <f>AF172*AE172*AG172*0.0036</f>
        <v>153.91641600000003</v>
      </c>
      <c r="AJ172" s="2">
        <v>30</v>
      </c>
      <c r="AK172" s="1">
        <v>12</v>
      </c>
      <c r="AL172" s="1">
        <v>0.58</v>
      </c>
      <c r="AM172" s="1">
        <v>0.59</v>
      </c>
      <c r="AN172" s="44">
        <f t="shared" si="4"/>
        <v>19962.6964992</v>
      </c>
      <c r="AO172" s="45">
        <f t="shared" si="5"/>
        <v>32691.846758400003</v>
      </c>
      <c r="AP172" s="13" t="s">
        <v>2413</v>
      </c>
    </row>
    <row r="173" spans="1:42" ht="66.75" customHeight="1">
      <c r="A173" s="2">
        <v>139</v>
      </c>
      <c r="B173" s="2">
        <v>146</v>
      </c>
      <c r="C173" s="1" t="s">
        <v>3828</v>
      </c>
      <c r="D173" s="1" t="s">
        <v>6</v>
      </c>
      <c r="E173" s="13">
        <v>3</v>
      </c>
      <c r="F173" s="13" t="s">
        <v>1568</v>
      </c>
      <c r="G173" s="2" t="s">
        <v>1569</v>
      </c>
      <c r="H173" s="2" t="s">
        <v>2486</v>
      </c>
      <c r="I173" s="1" t="s">
        <v>4166</v>
      </c>
      <c r="J173" s="1" t="s">
        <v>4127</v>
      </c>
      <c r="K173" s="63">
        <v>29104391</v>
      </c>
      <c r="L173" s="1" t="s">
        <v>2438</v>
      </c>
      <c r="M173" s="1">
        <v>3447000</v>
      </c>
      <c r="N173" s="1" t="s">
        <v>3735</v>
      </c>
      <c r="O173" s="1" t="s">
        <v>4181</v>
      </c>
      <c r="P173" s="1">
        <v>3428</v>
      </c>
      <c r="Q173" s="64">
        <v>43073</v>
      </c>
      <c r="R173" s="64">
        <v>46724</v>
      </c>
      <c r="S173" s="62" t="s">
        <v>2440</v>
      </c>
      <c r="T173" s="29" t="s">
        <v>2441</v>
      </c>
      <c r="U173" s="2" t="s">
        <v>2444</v>
      </c>
      <c r="V173" s="23" t="s">
        <v>3539</v>
      </c>
      <c r="W173" s="23" t="s">
        <v>3540</v>
      </c>
      <c r="X173" s="23">
        <v>2715</v>
      </c>
      <c r="Y173" s="60">
        <v>94501.55</v>
      </c>
      <c r="Z173" s="60">
        <v>97869.02</v>
      </c>
      <c r="AA173" s="2" t="s">
        <v>3849</v>
      </c>
      <c r="AB173" s="104">
        <v>43719</v>
      </c>
      <c r="AC173" s="50">
        <v>0.4138888888888889</v>
      </c>
      <c r="AD173" s="93"/>
      <c r="AE173" s="93"/>
      <c r="AF173" s="93"/>
      <c r="AG173" s="93"/>
      <c r="AH173" s="93"/>
      <c r="AI173" s="93"/>
      <c r="AJ173" s="93"/>
      <c r="AK173" s="93"/>
      <c r="AL173" s="93"/>
      <c r="AM173" s="93"/>
      <c r="AN173" s="117">
        <v>22445.027131220733</v>
      </c>
      <c r="AO173" s="118">
        <v>20655.155870076036</v>
      </c>
      <c r="AP173" s="13" t="s">
        <v>2413</v>
      </c>
    </row>
    <row r="174" spans="1:42" ht="57" customHeight="1">
      <c r="A174" s="2">
        <v>140</v>
      </c>
      <c r="B174" s="2">
        <v>147</v>
      </c>
      <c r="C174" s="1" t="s">
        <v>3828</v>
      </c>
      <c r="D174" s="1" t="s">
        <v>6</v>
      </c>
      <c r="E174" s="13">
        <v>3</v>
      </c>
      <c r="F174" s="13" t="s">
        <v>1570</v>
      </c>
      <c r="G174" s="2" t="s">
        <v>1571</v>
      </c>
      <c r="H174" s="2" t="s">
        <v>2486</v>
      </c>
      <c r="I174" s="1" t="s">
        <v>4166</v>
      </c>
      <c r="J174" s="1" t="s">
        <v>4127</v>
      </c>
      <c r="K174" s="63">
        <v>29104391</v>
      </c>
      <c r="L174" s="1" t="s">
        <v>2438</v>
      </c>
      <c r="M174" s="1">
        <v>3447000</v>
      </c>
      <c r="N174" s="1" t="s">
        <v>3735</v>
      </c>
      <c r="O174" s="1" t="s">
        <v>4181</v>
      </c>
      <c r="P174" s="1">
        <v>3428</v>
      </c>
      <c r="Q174" s="64">
        <v>43073</v>
      </c>
      <c r="R174" s="64">
        <v>46724</v>
      </c>
      <c r="S174" s="62" t="s">
        <v>2440</v>
      </c>
      <c r="T174" s="29" t="s">
        <v>2441</v>
      </c>
      <c r="U174" s="2" t="s">
        <v>2443</v>
      </c>
      <c r="V174" s="23" t="s">
        <v>3541</v>
      </c>
      <c r="W174" s="23" t="s">
        <v>3542</v>
      </c>
      <c r="X174" s="23">
        <v>2711</v>
      </c>
      <c r="Y174" s="60">
        <v>94512.3</v>
      </c>
      <c r="Z174" s="60">
        <v>97830.78</v>
      </c>
      <c r="AA174" s="2" t="s">
        <v>3849</v>
      </c>
      <c r="AB174" s="104">
        <v>43718</v>
      </c>
      <c r="AC174" s="50">
        <v>0.4305555555555556</v>
      </c>
      <c r="AD174" s="93"/>
      <c r="AE174" s="93"/>
      <c r="AF174" s="93"/>
      <c r="AG174" s="93"/>
      <c r="AH174" s="93"/>
      <c r="AI174" s="93"/>
      <c r="AJ174" s="93"/>
      <c r="AK174" s="93"/>
      <c r="AL174" s="93"/>
      <c r="AM174" s="93"/>
      <c r="AN174" s="117">
        <v>1009.0817572601243</v>
      </c>
      <c r="AO174" s="118">
        <v>1821.1166334607508</v>
      </c>
      <c r="AP174" s="13" t="s">
        <v>2413</v>
      </c>
    </row>
    <row r="175" spans="1:42" ht="42" customHeight="1">
      <c r="A175" s="2">
        <v>141</v>
      </c>
      <c r="B175" s="2">
        <v>148</v>
      </c>
      <c r="C175" s="1" t="s">
        <v>3828</v>
      </c>
      <c r="D175" s="1" t="s">
        <v>6</v>
      </c>
      <c r="E175" s="13">
        <v>3</v>
      </c>
      <c r="F175" s="13" t="s">
        <v>1572</v>
      </c>
      <c r="G175" s="2" t="s">
        <v>1573</v>
      </c>
      <c r="H175" s="2" t="s">
        <v>2486</v>
      </c>
      <c r="I175" s="1" t="s">
        <v>4166</v>
      </c>
      <c r="J175" s="1" t="s">
        <v>4127</v>
      </c>
      <c r="K175" s="63">
        <v>29104391</v>
      </c>
      <c r="L175" s="1" t="s">
        <v>2438</v>
      </c>
      <c r="M175" s="1">
        <v>3447000</v>
      </c>
      <c r="N175" s="1" t="s">
        <v>3735</v>
      </c>
      <c r="O175" s="1" t="s">
        <v>4181</v>
      </c>
      <c r="P175" s="1">
        <v>3428</v>
      </c>
      <c r="Q175" s="64">
        <v>43073</v>
      </c>
      <c r="R175" s="64">
        <v>46724</v>
      </c>
      <c r="S175" s="62" t="s">
        <v>2440</v>
      </c>
      <c r="T175" s="29" t="s">
        <v>2441</v>
      </c>
      <c r="U175" s="2" t="s">
        <v>2444</v>
      </c>
      <c r="V175" s="23" t="s">
        <v>3543</v>
      </c>
      <c r="W175" s="23" t="s">
        <v>3544</v>
      </c>
      <c r="X175" s="23">
        <v>2707</v>
      </c>
      <c r="Y175" s="60">
        <v>94539.65</v>
      </c>
      <c r="Z175" s="60">
        <v>97798.09</v>
      </c>
      <c r="AA175" s="2" t="s">
        <v>3753</v>
      </c>
      <c r="AB175" s="104">
        <v>43718</v>
      </c>
      <c r="AC175" s="13" t="s">
        <v>3850</v>
      </c>
      <c r="AD175" s="2">
        <v>314</v>
      </c>
      <c r="AE175" s="2">
        <v>356</v>
      </c>
      <c r="AF175" s="2">
        <v>4.824</v>
      </c>
      <c r="AG175" s="69">
        <v>24</v>
      </c>
      <c r="AH175" s="43">
        <f>AF175*AD175*AG175*0.0036</f>
        <v>130.8731904</v>
      </c>
      <c r="AI175" s="43">
        <f>AF175*AE175*AG175*0.0036</f>
        <v>148.3785216</v>
      </c>
      <c r="AJ175" s="2">
        <v>30</v>
      </c>
      <c r="AK175" s="1">
        <v>12</v>
      </c>
      <c r="AL175" s="1">
        <v>0.55</v>
      </c>
      <c r="AM175" s="1">
        <v>0.59</v>
      </c>
      <c r="AN175" s="117">
        <f t="shared" si="4"/>
        <v>25912.891699199998</v>
      </c>
      <c r="AO175" s="118">
        <f t="shared" si="5"/>
        <v>31515.597987839996</v>
      </c>
      <c r="AP175" s="13" t="s">
        <v>2413</v>
      </c>
    </row>
    <row r="176" spans="1:42" ht="40.5" customHeight="1">
      <c r="A176" s="2">
        <v>142</v>
      </c>
      <c r="B176" s="2">
        <v>149</v>
      </c>
      <c r="C176" s="1" t="s">
        <v>3828</v>
      </c>
      <c r="D176" s="1" t="s">
        <v>6</v>
      </c>
      <c r="E176" s="13">
        <v>3</v>
      </c>
      <c r="F176" s="13" t="s">
        <v>1574</v>
      </c>
      <c r="G176" s="2" t="s">
        <v>1575</v>
      </c>
      <c r="H176" s="2" t="s">
        <v>2486</v>
      </c>
      <c r="I176" s="1" t="s">
        <v>4166</v>
      </c>
      <c r="J176" s="1" t="s">
        <v>4127</v>
      </c>
      <c r="K176" s="63">
        <v>29104391</v>
      </c>
      <c r="L176" s="1" t="s">
        <v>2438</v>
      </c>
      <c r="M176" s="1">
        <v>3447000</v>
      </c>
      <c r="N176" s="1" t="s">
        <v>3735</v>
      </c>
      <c r="O176" s="1" t="s">
        <v>4181</v>
      </c>
      <c r="P176" s="1">
        <v>3428</v>
      </c>
      <c r="Q176" s="64">
        <v>43073</v>
      </c>
      <c r="R176" s="64">
        <v>46724</v>
      </c>
      <c r="S176" s="62" t="s">
        <v>2440</v>
      </c>
      <c r="T176" s="1" t="s">
        <v>2442</v>
      </c>
      <c r="U176" s="2" t="s">
        <v>2444</v>
      </c>
      <c r="V176" s="23" t="s">
        <v>3545</v>
      </c>
      <c r="W176" s="23" t="s">
        <v>3546</v>
      </c>
      <c r="X176" s="23">
        <v>2707</v>
      </c>
      <c r="Y176" s="60">
        <v>94534.73</v>
      </c>
      <c r="Z176" s="60">
        <v>97794.39</v>
      </c>
      <c r="AA176" s="2" t="s">
        <v>3741</v>
      </c>
      <c r="AB176" s="66"/>
      <c r="AC176" s="66"/>
      <c r="AD176" s="93"/>
      <c r="AE176" s="93"/>
      <c r="AF176" s="93"/>
      <c r="AG176" s="93"/>
      <c r="AH176" s="93"/>
      <c r="AI176" s="93"/>
      <c r="AJ176" s="93"/>
      <c r="AK176" s="93"/>
      <c r="AL176" s="93"/>
      <c r="AM176" s="93"/>
      <c r="AN176" s="117">
        <f t="shared" si="4"/>
        <v>0</v>
      </c>
      <c r="AO176" s="118">
        <f t="shared" si="5"/>
        <v>0</v>
      </c>
      <c r="AP176" s="13" t="s">
        <v>2413</v>
      </c>
    </row>
    <row r="177" spans="1:42" ht="51" customHeight="1">
      <c r="A177" s="2">
        <v>143</v>
      </c>
      <c r="B177" s="2">
        <v>150</v>
      </c>
      <c r="C177" s="1" t="s">
        <v>3828</v>
      </c>
      <c r="D177" s="1" t="s">
        <v>6</v>
      </c>
      <c r="E177" s="13">
        <v>3</v>
      </c>
      <c r="F177" s="13" t="s">
        <v>1576</v>
      </c>
      <c r="G177" s="2" t="s">
        <v>1577</v>
      </c>
      <c r="H177" s="2" t="s">
        <v>2486</v>
      </c>
      <c r="I177" s="1" t="s">
        <v>4166</v>
      </c>
      <c r="J177" s="1" t="s">
        <v>4127</v>
      </c>
      <c r="K177" s="63">
        <v>29104391</v>
      </c>
      <c r="L177" s="1" t="s">
        <v>2438</v>
      </c>
      <c r="M177" s="1">
        <v>3447000</v>
      </c>
      <c r="N177" s="1" t="s">
        <v>3735</v>
      </c>
      <c r="O177" s="1" t="s">
        <v>4181</v>
      </c>
      <c r="P177" s="1">
        <v>3428</v>
      </c>
      <c r="Q177" s="64">
        <v>43073</v>
      </c>
      <c r="R177" s="64">
        <v>46724</v>
      </c>
      <c r="S177" s="62" t="s">
        <v>2440</v>
      </c>
      <c r="T177" s="1" t="s">
        <v>2442</v>
      </c>
      <c r="U177" s="2" t="s">
        <v>2444</v>
      </c>
      <c r="V177" s="23" t="s">
        <v>3547</v>
      </c>
      <c r="W177" s="23" t="s">
        <v>3548</v>
      </c>
      <c r="X177" s="23">
        <v>2695</v>
      </c>
      <c r="Y177" s="60">
        <v>94593.73</v>
      </c>
      <c r="Z177" s="60">
        <v>97695.39</v>
      </c>
      <c r="AA177" s="2" t="s">
        <v>3753</v>
      </c>
      <c r="AB177" s="104">
        <v>43719</v>
      </c>
      <c r="AC177" s="13" t="s">
        <v>3851</v>
      </c>
      <c r="AD177" s="2">
        <v>281</v>
      </c>
      <c r="AE177" s="2">
        <v>360</v>
      </c>
      <c r="AF177" s="2">
        <v>0.261</v>
      </c>
      <c r="AG177" s="69">
        <v>24</v>
      </c>
      <c r="AH177" s="43">
        <f>AF177*AD177*AG177*0.0036</f>
        <v>6.336662400000001</v>
      </c>
      <c r="AI177" s="43">
        <f>AF177*AE177*AG177*0.0036</f>
        <v>8.118144</v>
      </c>
      <c r="AJ177" s="2">
        <v>30</v>
      </c>
      <c r="AK177" s="1">
        <v>12</v>
      </c>
      <c r="AL177" s="1">
        <v>0.51</v>
      </c>
      <c r="AM177" s="1">
        <v>0.58</v>
      </c>
      <c r="AN177" s="117">
        <f t="shared" si="4"/>
        <v>1163.4112166400002</v>
      </c>
      <c r="AO177" s="118">
        <f t="shared" si="5"/>
        <v>1695.0684671999998</v>
      </c>
      <c r="AP177" s="13" t="s">
        <v>2413</v>
      </c>
    </row>
    <row r="178" spans="1:42" ht="45" customHeight="1">
      <c r="A178" s="2">
        <v>144</v>
      </c>
      <c r="B178" s="2">
        <v>151</v>
      </c>
      <c r="C178" s="1" t="s">
        <v>3828</v>
      </c>
      <c r="D178" s="1" t="s">
        <v>6</v>
      </c>
      <c r="E178" s="13">
        <v>3</v>
      </c>
      <c r="F178" s="13" t="s">
        <v>1578</v>
      </c>
      <c r="G178" s="2" t="s">
        <v>1579</v>
      </c>
      <c r="H178" s="2" t="s">
        <v>2486</v>
      </c>
      <c r="I178" s="1" t="s">
        <v>4166</v>
      </c>
      <c r="J178" s="1" t="s">
        <v>4127</v>
      </c>
      <c r="K178" s="63">
        <v>29104391</v>
      </c>
      <c r="L178" s="1" t="s">
        <v>2438</v>
      </c>
      <c r="M178" s="1">
        <v>3447000</v>
      </c>
      <c r="N178" s="1" t="s">
        <v>3735</v>
      </c>
      <c r="O178" s="1" t="s">
        <v>4181</v>
      </c>
      <c r="P178" s="1">
        <v>3428</v>
      </c>
      <c r="Q178" s="64">
        <v>43073</v>
      </c>
      <c r="R178" s="64">
        <v>46724</v>
      </c>
      <c r="S178" s="62" t="s">
        <v>2440</v>
      </c>
      <c r="T178" s="29" t="s">
        <v>2441</v>
      </c>
      <c r="U178" s="2" t="s">
        <v>2444</v>
      </c>
      <c r="V178" s="23" t="s">
        <v>3549</v>
      </c>
      <c r="W178" s="23" t="s">
        <v>3550</v>
      </c>
      <c r="X178" s="23">
        <v>2668</v>
      </c>
      <c r="Y178" s="60">
        <v>94668.05</v>
      </c>
      <c r="Z178" s="60">
        <v>97066.3</v>
      </c>
      <c r="AA178" s="2" t="s">
        <v>4046</v>
      </c>
      <c r="AB178" s="104"/>
      <c r="AC178" s="13"/>
      <c r="AD178" s="2"/>
      <c r="AE178" s="2"/>
      <c r="AF178" s="2"/>
      <c r="AG178" s="69"/>
      <c r="AH178" s="43"/>
      <c r="AI178" s="43"/>
      <c r="AJ178" s="2"/>
      <c r="AK178" s="1"/>
      <c r="AL178" s="1"/>
      <c r="AM178" s="1"/>
      <c r="AN178" s="117">
        <f>AVERAGE(AN179:AN180)</f>
        <v>7119.90342144</v>
      </c>
      <c r="AO178" s="117">
        <f>AVERAGE(AO179:AO180)</f>
        <v>7754.1587712</v>
      </c>
      <c r="AP178" s="13" t="s">
        <v>2413</v>
      </c>
    </row>
    <row r="179" spans="1:42" ht="45" customHeight="1">
      <c r="A179" s="2"/>
      <c r="B179" s="2"/>
      <c r="C179" s="1"/>
      <c r="D179" s="1"/>
      <c r="E179" s="13"/>
      <c r="F179" s="13"/>
      <c r="G179" s="2"/>
      <c r="H179" s="2"/>
      <c r="I179" s="1"/>
      <c r="J179" s="1"/>
      <c r="K179" s="63"/>
      <c r="L179" s="1"/>
      <c r="M179" s="1"/>
      <c r="N179" s="1"/>
      <c r="O179" s="1"/>
      <c r="P179" s="1"/>
      <c r="Q179" s="64"/>
      <c r="R179" s="64"/>
      <c r="S179" s="62"/>
      <c r="T179" s="29"/>
      <c r="U179" s="2"/>
      <c r="V179" s="23"/>
      <c r="W179" s="23"/>
      <c r="X179" s="23"/>
      <c r="Y179" s="60"/>
      <c r="Z179" s="60"/>
      <c r="AA179" s="2" t="s">
        <v>3753</v>
      </c>
      <c r="AB179" s="104">
        <v>43719</v>
      </c>
      <c r="AC179" s="13" t="s">
        <v>2541</v>
      </c>
      <c r="AD179" s="2">
        <v>276</v>
      </c>
      <c r="AE179" s="2">
        <v>328</v>
      </c>
      <c r="AF179" s="2">
        <v>0.499</v>
      </c>
      <c r="AG179" s="69">
        <v>24</v>
      </c>
      <c r="AH179" s="102">
        <f>AF179*AD179*AG179*0.0036</f>
        <v>11.8993536</v>
      </c>
      <c r="AI179" s="102">
        <f>AF179*AE179*AG179*0.0036</f>
        <v>14.141260799999998</v>
      </c>
      <c r="AJ179" s="2">
        <v>30</v>
      </c>
      <c r="AK179" s="1">
        <v>12</v>
      </c>
      <c r="AL179" s="1">
        <v>0.58</v>
      </c>
      <c r="AM179" s="1">
        <v>0.55</v>
      </c>
      <c r="AN179" s="127">
        <f>AH179*AJ179*AK179*AL179</f>
        <v>2484.5850316799997</v>
      </c>
      <c r="AO179" s="128">
        <f>AI179*AJ179*AK179*AM179</f>
        <v>2799.9696384</v>
      </c>
      <c r="AP179" s="13"/>
    </row>
    <row r="180" spans="1:42" ht="45" customHeight="1">
      <c r="A180" s="2"/>
      <c r="B180" s="2"/>
      <c r="C180" s="1"/>
      <c r="D180" s="1"/>
      <c r="E180" s="13"/>
      <c r="F180" s="13"/>
      <c r="G180" s="2"/>
      <c r="H180" s="2"/>
      <c r="I180" s="1"/>
      <c r="J180" s="1"/>
      <c r="K180" s="63"/>
      <c r="L180" s="1"/>
      <c r="M180" s="1"/>
      <c r="N180" s="1"/>
      <c r="O180" s="1"/>
      <c r="P180" s="1"/>
      <c r="Q180" s="64"/>
      <c r="R180" s="64"/>
      <c r="S180" s="62"/>
      <c r="T180" s="29"/>
      <c r="U180" s="2"/>
      <c r="V180" s="23"/>
      <c r="W180" s="23"/>
      <c r="X180" s="23"/>
      <c r="Y180" s="60"/>
      <c r="Z180" s="60"/>
      <c r="AA180" s="2" t="s">
        <v>4114</v>
      </c>
      <c r="AB180" s="104">
        <v>43649</v>
      </c>
      <c r="AC180" s="13" t="s">
        <v>2497</v>
      </c>
      <c r="AD180" s="2">
        <v>444</v>
      </c>
      <c r="AE180" s="2">
        <v>480</v>
      </c>
      <c r="AF180" s="2">
        <v>1.33</v>
      </c>
      <c r="AG180" s="69">
        <v>24</v>
      </c>
      <c r="AH180" s="102">
        <f>AF180*AD180*AG180*0.0036</f>
        <v>51.020928</v>
      </c>
      <c r="AI180" s="102">
        <f>AF180*AE180*AG180*0.0036</f>
        <v>55.15776</v>
      </c>
      <c r="AJ180" s="2">
        <v>30</v>
      </c>
      <c r="AK180" s="1">
        <v>12</v>
      </c>
      <c r="AL180" s="1">
        <v>0.64</v>
      </c>
      <c r="AM180" s="1">
        <v>0.64</v>
      </c>
      <c r="AN180" s="127">
        <f>AH180*AJ180*AK180*AL180</f>
        <v>11755.2218112</v>
      </c>
      <c r="AO180" s="128">
        <f>AI180*AJ180*AK180*AM180</f>
        <v>12708.347904</v>
      </c>
      <c r="AP180" s="13"/>
    </row>
    <row r="181" spans="1:42" ht="12.75">
      <c r="A181" s="2">
        <v>145</v>
      </c>
      <c r="B181" s="2">
        <v>152</v>
      </c>
      <c r="C181" s="1" t="s">
        <v>3828</v>
      </c>
      <c r="D181" s="1" t="s">
        <v>6</v>
      </c>
      <c r="E181" s="13">
        <v>3</v>
      </c>
      <c r="F181" s="13" t="s">
        <v>1580</v>
      </c>
      <c r="G181" s="2" t="s">
        <v>1579</v>
      </c>
      <c r="H181" s="2" t="s">
        <v>2486</v>
      </c>
      <c r="I181" s="1" t="s">
        <v>4166</v>
      </c>
      <c r="J181" s="1" t="s">
        <v>4127</v>
      </c>
      <c r="K181" s="63">
        <v>29104391</v>
      </c>
      <c r="L181" s="1" t="s">
        <v>2438</v>
      </c>
      <c r="M181" s="1">
        <v>3447000</v>
      </c>
      <c r="N181" s="1" t="s">
        <v>3735</v>
      </c>
      <c r="O181" s="1" t="s">
        <v>4181</v>
      </c>
      <c r="P181" s="1">
        <v>3428</v>
      </c>
      <c r="Q181" s="64">
        <v>43073</v>
      </c>
      <c r="R181" s="64">
        <v>46724</v>
      </c>
      <c r="S181" s="62" t="s">
        <v>2440</v>
      </c>
      <c r="T181" s="29" t="s">
        <v>2441</v>
      </c>
      <c r="U181" s="2" t="s">
        <v>2444</v>
      </c>
      <c r="V181" s="23" t="s">
        <v>3551</v>
      </c>
      <c r="W181" s="23" t="s">
        <v>3552</v>
      </c>
      <c r="X181" s="23">
        <v>2662</v>
      </c>
      <c r="Y181" s="60">
        <v>94731.63</v>
      </c>
      <c r="Z181" s="60">
        <v>96471.13</v>
      </c>
      <c r="AA181" s="2" t="s">
        <v>3741</v>
      </c>
      <c r="AB181" s="66"/>
      <c r="AC181" s="66"/>
      <c r="AD181" s="2"/>
      <c r="AE181" s="2"/>
      <c r="AF181" s="2"/>
      <c r="AG181" s="66"/>
      <c r="AH181" s="43"/>
      <c r="AI181" s="43"/>
      <c r="AJ181" s="2"/>
      <c r="AK181" s="1"/>
      <c r="AL181" s="1"/>
      <c r="AM181" s="1"/>
      <c r="AN181" s="117">
        <f t="shared" si="4"/>
        <v>0</v>
      </c>
      <c r="AO181" s="118">
        <f t="shared" si="5"/>
        <v>0</v>
      </c>
      <c r="AP181" s="13" t="s">
        <v>2413</v>
      </c>
    </row>
    <row r="182" spans="1:42" ht="38.25">
      <c r="A182" s="2">
        <v>146</v>
      </c>
      <c r="B182" s="2">
        <v>153</v>
      </c>
      <c r="C182" s="1" t="s">
        <v>3833</v>
      </c>
      <c r="D182" s="1" t="s">
        <v>6</v>
      </c>
      <c r="E182" s="13">
        <v>3</v>
      </c>
      <c r="F182" s="13" t="s">
        <v>3740</v>
      </c>
      <c r="G182" s="2" t="s">
        <v>3834</v>
      </c>
      <c r="H182" s="2" t="s">
        <v>2486</v>
      </c>
      <c r="I182" s="1" t="s">
        <v>4166</v>
      </c>
      <c r="J182" s="1" t="s">
        <v>4127</v>
      </c>
      <c r="K182" s="63">
        <v>29104391</v>
      </c>
      <c r="L182" s="1" t="s">
        <v>2438</v>
      </c>
      <c r="M182" s="1">
        <v>3447000</v>
      </c>
      <c r="N182" s="1" t="s">
        <v>3735</v>
      </c>
      <c r="O182" s="1" t="s">
        <v>4181</v>
      </c>
      <c r="P182" s="1">
        <v>3428</v>
      </c>
      <c r="Q182" s="64">
        <v>43073</v>
      </c>
      <c r="R182" s="64">
        <v>46724</v>
      </c>
      <c r="S182" s="62" t="s">
        <v>2440</v>
      </c>
      <c r="T182" s="29" t="s">
        <v>2441</v>
      </c>
      <c r="U182" s="9" t="s">
        <v>2443</v>
      </c>
      <c r="V182" s="23" t="s">
        <v>2020</v>
      </c>
      <c r="W182" s="23" t="s">
        <v>3553</v>
      </c>
      <c r="X182" s="23">
        <v>2663</v>
      </c>
      <c r="Y182" s="60">
        <v>94797.143</v>
      </c>
      <c r="Z182" s="60">
        <v>97409.212</v>
      </c>
      <c r="AA182" s="2" t="s">
        <v>4060</v>
      </c>
      <c r="AB182" s="94">
        <v>43649</v>
      </c>
      <c r="AC182" s="20" t="s">
        <v>2503</v>
      </c>
      <c r="AD182" s="1">
        <v>237</v>
      </c>
      <c r="AE182" s="1">
        <v>380</v>
      </c>
      <c r="AF182" s="1">
        <v>79.89</v>
      </c>
      <c r="AG182" s="1">
        <v>24</v>
      </c>
      <c r="AH182" s="102">
        <f>AF182*AD182*AG182*0.0036</f>
        <v>1635.891552</v>
      </c>
      <c r="AI182" s="102">
        <f>AF182*AE182*AG182*0.0036</f>
        <v>2622.94848</v>
      </c>
      <c r="AJ182" s="2">
        <v>30</v>
      </c>
      <c r="AK182" s="1">
        <v>12</v>
      </c>
      <c r="AL182" s="1">
        <v>0.63</v>
      </c>
      <c r="AM182" s="1">
        <v>0.67</v>
      </c>
      <c r="AN182" s="44">
        <f t="shared" si="4"/>
        <v>371020.2039936</v>
      </c>
      <c r="AO182" s="45">
        <f t="shared" si="5"/>
        <v>632655.1733760001</v>
      </c>
      <c r="AP182" s="13" t="s">
        <v>2413</v>
      </c>
    </row>
    <row r="183" spans="1:42" ht="70.5" customHeight="1">
      <c r="A183" s="2">
        <v>147</v>
      </c>
      <c r="B183" s="2">
        <v>154</v>
      </c>
      <c r="C183" s="1" t="s">
        <v>3828</v>
      </c>
      <c r="D183" s="1" t="s">
        <v>6</v>
      </c>
      <c r="E183" s="13">
        <v>3</v>
      </c>
      <c r="F183" s="13" t="s">
        <v>1581</v>
      </c>
      <c r="G183" s="2" t="s">
        <v>1582</v>
      </c>
      <c r="H183" s="2" t="s">
        <v>2486</v>
      </c>
      <c r="I183" s="1" t="s">
        <v>4166</v>
      </c>
      <c r="J183" s="1" t="s">
        <v>4127</v>
      </c>
      <c r="K183" s="63">
        <v>29104391</v>
      </c>
      <c r="L183" s="1" t="s">
        <v>2438</v>
      </c>
      <c r="M183" s="1">
        <v>3447000</v>
      </c>
      <c r="N183" s="1" t="s">
        <v>3735</v>
      </c>
      <c r="O183" s="1" t="s">
        <v>4181</v>
      </c>
      <c r="P183" s="1">
        <v>3428</v>
      </c>
      <c r="Q183" s="64">
        <v>43073</v>
      </c>
      <c r="R183" s="64">
        <v>46724</v>
      </c>
      <c r="S183" s="62" t="s">
        <v>2440</v>
      </c>
      <c r="T183" s="29" t="s">
        <v>2441</v>
      </c>
      <c r="U183" s="2" t="s">
        <v>2443</v>
      </c>
      <c r="V183" s="23" t="s">
        <v>3554</v>
      </c>
      <c r="W183" s="23" t="s">
        <v>3555</v>
      </c>
      <c r="X183" s="23">
        <v>2664</v>
      </c>
      <c r="Y183" s="60">
        <v>94798.31</v>
      </c>
      <c r="Z183" s="60">
        <v>96511.22</v>
      </c>
      <c r="AA183" s="2" t="s">
        <v>4163</v>
      </c>
      <c r="AB183" s="94"/>
      <c r="AC183" s="20"/>
      <c r="AD183" s="2"/>
      <c r="AE183" s="2"/>
      <c r="AF183" s="49"/>
      <c r="AG183" s="1"/>
      <c r="AH183" s="43"/>
      <c r="AI183" s="43"/>
      <c r="AJ183" s="2"/>
      <c r="AK183" s="1"/>
      <c r="AL183" s="1"/>
      <c r="AM183" s="1"/>
      <c r="AN183" s="117">
        <v>302740.0832587527</v>
      </c>
      <c r="AO183" s="118">
        <v>203767.1525333198</v>
      </c>
      <c r="AP183" s="13" t="s">
        <v>2413</v>
      </c>
    </row>
    <row r="184" spans="1:42" ht="12.75">
      <c r="A184" s="2">
        <v>148</v>
      </c>
      <c r="B184" s="2">
        <v>155</v>
      </c>
      <c r="C184" s="1" t="s">
        <v>3828</v>
      </c>
      <c r="D184" s="1" t="s">
        <v>6</v>
      </c>
      <c r="E184" s="13">
        <v>3</v>
      </c>
      <c r="F184" s="13" t="s">
        <v>1583</v>
      </c>
      <c r="G184" s="2" t="s">
        <v>1584</v>
      </c>
      <c r="H184" s="2" t="s">
        <v>2486</v>
      </c>
      <c r="I184" s="1" t="s">
        <v>4166</v>
      </c>
      <c r="J184" s="1" t="s">
        <v>4127</v>
      </c>
      <c r="K184" s="63">
        <v>29104391</v>
      </c>
      <c r="L184" s="1" t="s">
        <v>2438</v>
      </c>
      <c r="M184" s="1">
        <v>3447000</v>
      </c>
      <c r="N184" s="1" t="s">
        <v>3735</v>
      </c>
      <c r="O184" s="1" t="s">
        <v>4181</v>
      </c>
      <c r="P184" s="1">
        <v>3428</v>
      </c>
      <c r="Q184" s="64">
        <v>43073</v>
      </c>
      <c r="R184" s="64">
        <v>46724</v>
      </c>
      <c r="S184" s="62" t="s">
        <v>2440</v>
      </c>
      <c r="T184" s="29" t="s">
        <v>2441</v>
      </c>
      <c r="U184" s="2" t="s">
        <v>2443</v>
      </c>
      <c r="V184" s="23" t="s">
        <v>3556</v>
      </c>
      <c r="W184" s="23" t="s">
        <v>3557</v>
      </c>
      <c r="X184" s="23">
        <v>2663</v>
      </c>
      <c r="Y184" s="60">
        <v>94762.33</v>
      </c>
      <c r="Z184" s="60">
        <v>95845.12</v>
      </c>
      <c r="AA184" s="2" t="s">
        <v>3741</v>
      </c>
      <c r="AB184" s="66"/>
      <c r="AC184" s="66"/>
      <c r="AD184" s="2"/>
      <c r="AE184" s="2"/>
      <c r="AF184" s="2"/>
      <c r="AG184" s="66"/>
      <c r="AH184" s="43"/>
      <c r="AI184" s="43"/>
      <c r="AJ184" s="2"/>
      <c r="AK184" s="1"/>
      <c r="AL184" s="1"/>
      <c r="AM184" s="1"/>
      <c r="AN184" s="44">
        <f t="shared" si="4"/>
        <v>0</v>
      </c>
      <c r="AO184" s="45">
        <f t="shared" si="5"/>
        <v>0</v>
      </c>
      <c r="AP184" s="13" t="s">
        <v>2413</v>
      </c>
    </row>
    <row r="185" spans="1:42" ht="38.25">
      <c r="A185" s="2">
        <v>149</v>
      </c>
      <c r="B185" s="2">
        <v>156</v>
      </c>
      <c r="C185" s="1" t="s">
        <v>3835</v>
      </c>
      <c r="D185" s="1" t="s">
        <v>6</v>
      </c>
      <c r="E185" s="13">
        <v>3</v>
      </c>
      <c r="F185" s="13" t="s">
        <v>1585</v>
      </c>
      <c r="G185" s="2" t="s">
        <v>3836</v>
      </c>
      <c r="H185" s="2" t="s">
        <v>2502</v>
      </c>
      <c r="I185" s="1" t="s">
        <v>4166</v>
      </c>
      <c r="J185" s="1" t="s">
        <v>4127</v>
      </c>
      <c r="K185" s="63">
        <v>29104391</v>
      </c>
      <c r="L185" s="1" t="s">
        <v>2438</v>
      </c>
      <c r="M185" s="1">
        <v>3447000</v>
      </c>
      <c r="N185" s="1" t="s">
        <v>3735</v>
      </c>
      <c r="O185" s="1" t="s">
        <v>4181</v>
      </c>
      <c r="P185" s="1">
        <v>3428</v>
      </c>
      <c r="Q185" s="64">
        <v>43073</v>
      </c>
      <c r="R185" s="64">
        <v>46724</v>
      </c>
      <c r="S185" s="62" t="s">
        <v>2440</v>
      </c>
      <c r="T185" s="29" t="s">
        <v>2442</v>
      </c>
      <c r="U185" s="9" t="s">
        <v>2443</v>
      </c>
      <c r="V185" s="23" t="s">
        <v>3558</v>
      </c>
      <c r="W185" s="23" t="s">
        <v>3559</v>
      </c>
      <c r="X185" s="23">
        <v>2648</v>
      </c>
      <c r="Y185" s="60">
        <v>94516.876</v>
      </c>
      <c r="Z185" s="60">
        <v>97191.515</v>
      </c>
      <c r="AA185" s="2" t="s">
        <v>3741</v>
      </c>
      <c r="AB185" s="66"/>
      <c r="AC185" s="66"/>
      <c r="AD185" s="2"/>
      <c r="AE185" s="2"/>
      <c r="AF185" s="2"/>
      <c r="AG185" s="66"/>
      <c r="AH185" s="43"/>
      <c r="AI185" s="43"/>
      <c r="AJ185" s="2"/>
      <c r="AK185" s="1"/>
      <c r="AL185" s="1"/>
      <c r="AM185" s="1"/>
      <c r="AN185" s="44">
        <f t="shared" si="4"/>
        <v>0</v>
      </c>
      <c r="AO185" s="45">
        <f t="shared" si="5"/>
        <v>0</v>
      </c>
      <c r="AP185" s="66"/>
    </row>
    <row r="186" spans="1:42" ht="45.75" customHeight="1">
      <c r="A186" s="2">
        <v>150</v>
      </c>
      <c r="B186" s="2">
        <v>157</v>
      </c>
      <c r="C186" s="1" t="s">
        <v>3837</v>
      </c>
      <c r="D186" s="1" t="s">
        <v>6</v>
      </c>
      <c r="E186" s="13">
        <v>3</v>
      </c>
      <c r="F186" s="2" t="s">
        <v>1586</v>
      </c>
      <c r="G186" s="2" t="s">
        <v>3838</v>
      </c>
      <c r="H186" s="2" t="s">
        <v>2502</v>
      </c>
      <c r="I186" s="1" t="s">
        <v>4166</v>
      </c>
      <c r="J186" s="1" t="s">
        <v>4127</v>
      </c>
      <c r="K186" s="63">
        <v>29104391</v>
      </c>
      <c r="L186" s="1" t="s">
        <v>2438</v>
      </c>
      <c r="M186" s="1">
        <v>3447000</v>
      </c>
      <c r="N186" s="1" t="s">
        <v>3735</v>
      </c>
      <c r="O186" s="1" t="s">
        <v>4181</v>
      </c>
      <c r="P186" s="1">
        <v>3428</v>
      </c>
      <c r="Q186" s="64">
        <v>43073</v>
      </c>
      <c r="R186" s="64">
        <v>46724</v>
      </c>
      <c r="S186" s="62" t="s">
        <v>2440</v>
      </c>
      <c r="T186" s="29" t="s">
        <v>2442</v>
      </c>
      <c r="U186" s="9" t="s">
        <v>2443</v>
      </c>
      <c r="V186" s="23" t="s">
        <v>3560</v>
      </c>
      <c r="W186" s="23" t="s">
        <v>3561</v>
      </c>
      <c r="X186" s="23">
        <v>2636</v>
      </c>
      <c r="Y186" s="60">
        <v>94548.213</v>
      </c>
      <c r="Z186" s="60">
        <v>97076.18</v>
      </c>
      <c r="AA186" s="2" t="s">
        <v>3741</v>
      </c>
      <c r="AB186" s="66"/>
      <c r="AC186" s="66"/>
      <c r="AD186" s="2"/>
      <c r="AE186" s="2"/>
      <c r="AF186" s="2"/>
      <c r="AG186" s="66"/>
      <c r="AH186" s="43"/>
      <c r="AI186" s="43"/>
      <c r="AJ186" s="2"/>
      <c r="AK186" s="1"/>
      <c r="AL186" s="1"/>
      <c r="AM186" s="1"/>
      <c r="AN186" s="44">
        <f t="shared" si="4"/>
        <v>0</v>
      </c>
      <c r="AO186" s="45">
        <f t="shared" si="5"/>
        <v>0</v>
      </c>
      <c r="AP186" s="66"/>
    </row>
    <row r="187" spans="1:42" ht="25.5">
      <c r="A187" s="2">
        <v>151</v>
      </c>
      <c r="B187" s="2">
        <v>158</v>
      </c>
      <c r="C187" s="1" t="s">
        <v>3828</v>
      </c>
      <c r="D187" s="1" t="s">
        <v>6</v>
      </c>
      <c r="E187" s="13">
        <v>3</v>
      </c>
      <c r="F187" s="13" t="s">
        <v>1587</v>
      </c>
      <c r="G187" s="2" t="s">
        <v>1588</v>
      </c>
      <c r="H187" s="2" t="s">
        <v>2502</v>
      </c>
      <c r="I187" s="1" t="s">
        <v>4166</v>
      </c>
      <c r="J187" s="1" t="s">
        <v>4127</v>
      </c>
      <c r="K187" s="63">
        <v>29104391</v>
      </c>
      <c r="L187" s="1" t="s">
        <v>2438</v>
      </c>
      <c r="M187" s="1">
        <v>3447000</v>
      </c>
      <c r="N187" s="1" t="s">
        <v>3735</v>
      </c>
      <c r="O187" s="1" t="s">
        <v>4181</v>
      </c>
      <c r="P187" s="1">
        <v>3428</v>
      </c>
      <c r="Q187" s="64">
        <v>43073</v>
      </c>
      <c r="R187" s="64">
        <v>46724</v>
      </c>
      <c r="S187" s="62" t="s">
        <v>2440</v>
      </c>
      <c r="T187" s="29" t="s">
        <v>2441</v>
      </c>
      <c r="U187" s="2" t="s">
        <v>2444</v>
      </c>
      <c r="V187" s="23" t="s">
        <v>3562</v>
      </c>
      <c r="W187" s="23" t="s">
        <v>3563</v>
      </c>
      <c r="X187" s="23">
        <v>2622</v>
      </c>
      <c r="Y187" s="60">
        <v>94827.22</v>
      </c>
      <c r="Z187" s="60">
        <v>96949.72</v>
      </c>
      <c r="AA187" s="2" t="s">
        <v>3741</v>
      </c>
      <c r="AB187" s="66"/>
      <c r="AC187" s="66"/>
      <c r="AD187" s="93"/>
      <c r="AE187" s="93"/>
      <c r="AF187" s="93"/>
      <c r="AG187" s="93"/>
      <c r="AH187" s="93"/>
      <c r="AI187" s="93"/>
      <c r="AJ187" s="93"/>
      <c r="AK187" s="93"/>
      <c r="AL187" s="93"/>
      <c r="AM187" s="93"/>
      <c r="AN187" s="44">
        <f t="shared" si="4"/>
        <v>0</v>
      </c>
      <c r="AO187" s="45">
        <f t="shared" si="5"/>
        <v>0</v>
      </c>
      <c r="AP187" s="13" t="s">
        <v>2413</v>
      </c>
    </row>
    <row r="188" spans="1:42" ht="25.5">
      <c r="A188" s="2">
        <v>152</v>
      </c>
      <c r="B188" s="2">
        <v>159</v>
      </c>
      <c r="C188" s="1" t="s">
        <v>3828</v>
      </c>
      <c r="D188" s="1" t="s">
        <v>6</v>
      </c>
      <c r="E188" s="13">
        <v>3</v>
      </c>
      <c r="F188" s="13" t="s">
        <v>1589</v>
      </c>
      <c r="G188" s="2" t="s">
        <v>1590</v>
      </c>
      <c r="H188" s="2" t="s">
        <v>2502</v>
      </c>
      <c r="I188" s="1" t="s">
        <v>4166</v>
      </c>
      <c r="J188" s="1" t="s">
        <v>4127</v>
      </c>
      <c r="K188" s="63">
        <v>29104391</v>
      </c>
      <c r="L188" s="1" t="s">
        <v>2438</v>
      </c>
      <c r="M188" s="1">
        <v>3447000</v>
      </c>
      <c r="N188" s="1" t="s">
        <v>3735</v>
      </c>
      <c r="O188" s="1" t="s">
        <v>4181</v>
      </c>
      <c r="P188" s="1">
        <v>3428</v>
      </c>
      <c r="Q188" s="64">
        <v>43073</v>
      </c>
      <c r="R188" s="64">
        <v>46724</v>
      </c>
      <c r="S188" s="62" t="s">
        <v>2440</v>
      </c>
      <c r="T188" s="1" t="s">
        <v>2442</v>
      </c>
      <c r="U188" s="2" t="s">
        <v>2444</v>
      </c>
      <c r="V188" s="23" t="s">
        <v>3564</v>
      </c>
      <c r="W188" s="23" t="s">
        <v>3565</v>
      </c>
      <c r="X188" s="23">
        <v>2589</v>
      </c>
      <c r="Y188" s="60">
        <v>95220.85</v>
      </c>
      <c r="Z188" s="60">
        <v>96644.1</v>
      </c>
      <c r="AA188" s="2" t="s">
        <v>3741</v>
      </c>
      <c r="AB188" s="66"/>
      <c r="AC188" s="66"/>
      <c r="AD188" s="2"/>
      <c r="AE188" s="2"/>
      <c r="AF188" s="2"/>
      <c r="AG188" s="66"/>
      <c r="AH188" s="43"/>
      <c r="AI188" s="43"/>
      <c r="AJ188" s="2"/>
      <c r="AK188" s="1"/>
      <c r="AL188" s="1"/>
      <c r="AM188" s="1"/>
      <c r="AN188" s="44">
        <f t="shared" si="4"/>
        <v>0</v>
      </c>
      <c r="AO188" s="45">
        <f t="shared" si="5"/>
        <v>0</v>
      </c>
      <c r="AP188" s="13" t="s">
        <v>2413</v>
      </c>
    </row>
    <row r="189" spans="1:42" ht="25.5">
      <c r="A189" s="2">
        <v>153</v>
      </c>
      <c r="B189" s="2">
        <v>160</v>
      </c>
      <c r="C189" s="1" t="s">
        <v>3828</v>
      </c>
      <c r="D189" s="1" t="s">
        <v>6</v>
      </c>
      <c r="E189" s="13">
        <v>3</v>
      </c>
      <c r="F189" s="13" t="s">
        <v>1591</v>
      </c>
      <c r="G189" s="2" t="s">
        <v>1592</v>
      </c>
      <c r="H189" s="2" t="s">
        <v>2502</v>
      </c>
      <c r="I189" s="1" t="s">
        <v>4166</v>
      </c>
      <c r="J189" s="1" t="s">
        <v>4127</v>
      </c>
      <c r="K189" s="63">
        <v>29104391</v>
      </c>
      <c r="L189" s="1" t="s">
        <v>2438</v>
      </c>
      <c r="M189" s="1">
        <v>3447000</v>
      </c>
      <c r="N189" s="1" t="s">
        <v>3735</v>
      </c>
      <c r="O189" s="1" t="s">
        <v>4181</v>
      </c>
      <c r="P189" s="1">
        <v>3428</v>
      </c>
      <c r="Q189" s="64">
        <v>43073</v>
      </c>
      <c r="R189" s="64">
        <v>46724</v>
      </c>
      <c r="S189" s="62" t="s">
        <v>2440</v>
      </c>
      <c r="T189" s="29" t="s">
        <v>2441</v>
      </c>
      <c r="U189" s="2" t="s">
        <v>2444</v>
      </c>
      <c r="V189" s="23" t="s">
        <v>3566</v>
      </c>
      <c r="W189" s="23" t="s">
        <v>3567</v>
      </c>
      <c r="X189" s="23">
        <v>2588</v>
      </c>
      <c r="Y189" s="60">
        <v>95219.01</v>
      </c>
      <c r="Z189" s="60">
        <v>96626.53</v>
      </c>
      <c r="AA189" s="2" t="s">
        <v>3741</v>
      </c>
      <c r="AB189" s="66"/>
      <c r="AC189" s="66"/>
      <c r="AD189" s="2"/>
      <c r="AE189" s="2"/>
      <c r="AF189" s="2"/>
      <c r="AG189" s="66"/>
      <c r="AH189" s="43"/>
      <c r="AI189" s="43"/>
      <c r="AJ189" s="2"/>
      <c r="AK189" s="1"/>
      <c r="AL189" s="1"/>
      <c r="AM189" s="1"/>
      <c r="AN189" s="44">
        <f t="shared" si="4"/>
        <v>0</v>
      </c>
      <c r="AO189" s="45">
        <f t="shared" si="5"/>
        <v>0</v>
      </c>
      <c r="AP189" s="13" t="s">
        <v>2413</v>
      </c>
    </row>
    <row r="190" spans="1:42" ht="25.5">
      <c r="A190" s="2">
        <v>154</v>
      </c>
      <c r="B190" s="2">
        <v>161</v>
      </c>
      <c r="C190" s="1" t="s">
        <v>3828</v>
      </c>
      <c r="D190" s="1" t="s">
        <v>6</v>
      </c>
      <c r="E190" s="13">
        <v>3</v>
      </c>
      <c r="F190" s="13" t="s">
        <v>1593</v>
      </c>
      <c r="G190" s="2" t="s">
        <v>1594</v>
      </c>
      <c r="H190" s="2" t="s">
        <v>2502</v>
      </c>
      <c r="I190" s="1" t="s">
        <v>4166</v>
      </c>
      <c r="J190" s="1" t="s">
        <v>4127</v>
      </c>
      <c r="K190" s="63">
        <v>29104391</v>
      </c>
      <c r="L190" s="1" t="s">
        <v>2438</v>
      </c>
      <c r="M190" s="1">
        <v>3447000</v>
      </c>
      <c r="N190" s="1" t="s">
        <v>3735</v>
      </c>
      <c r="O190" s="1" t="s">
        <v>4181</v>
      </c>
      <c r="P190" s="1">
        <v>3428</v>
      </c>
      <c r="Q190" s="64">
        <v>43073</v>
      </c>
      <c r="R190" s="64">
        <v>46724</v>
      </c>
      <c r="S190" s="62" t="s">
        <v>2440</v>
      </c>
      <c r="T190" s="1" t="s">
        <v>2442</v>
      </c>
      <c r="U190" s="2" t="s">
        <v>2444</v>
      </c>
      <c r="V190" s="23" t="s">
        <v>3568</v>
      </c>
      <c r="W190" s="23" t="s">
        <v>3569</v>
      </c>
      <c r="X190" s="23">
        <v>2589</v>
      </c>
      <c r="Y190" s="60">
        <v>95171.07</v>
      </c>
      <c r="Z190" s="60">
        <v>96576.57</v>
      </c>
      <c r="AA190" s="2" t="s">
        <v>3741</v>
      </c>
      <c r="AB190" s="66"/>
      <c r="AC190" s="66"/>
      <c r="AD190" s="2"/>
      <c r="AE190" s="2"/>
      <c r="AF190" s="2"/>
      <c r="AG190" s="66"/>
      <c r="AH190" s="43"/>
      <c r="AI190" s="43"/>
      <c r="AJ190" s="2"/>
      <c r="AK190" s="1"/>
      <c r="AL190" s="1"/>
      <c r="AM190" s="1"/>
      <c r="AN190" s="44">
        <f t="shared" si="4"/>
        <v>0</v>
      </c>
      <c r="AO190" s="45">
        <f t="shared" si="5"/>
        <v>0</v>
      </c>
      <c r="AP190" s="13" t="s">
        <v>2413</v>
      </c>
    </row>
    <row r="191" spans="1:42" ht="25.5">
      <c r="A191" s="2">
        <v>155</v>
      </c>
      <c r="B191" s="2">
        <v>162</v>
      </c>
      <c r="C191" s="1" t="s">
        <v>3828</v>
      </c>
      <c r="D191" s="1" t="s">
        <v>6</v>
      </c>
      <c r="E191" s="13">
        <v>3</v>
      </c>
      <c r="F191" s="13" t="s">
        <v>1595</v>
      </c>
      <c r="G191" s="2" t="s">
        <v>1596</v>
      </c>
      <c r="H191" s="2" t="s">
        <v>2502</v>
      </c>
      <c r="I191" s="1" t="s">
        <v>4166</v>
      </c>
      <c r="J191" s="1" t="s">
        <v>4127</v>
      </c>
      <c r="K191" s="63">
        <v>29104391</v>
      </c>
      <c r="L191" s="1" t="s">
        <v>2438</v>
      </c>
      <c r="M191" s="1">
        <v>3447000</v>
      </c>
      <c r="N191" s="1" t="s">
        <v>3735</v>
      </c>
      <c r="O191" s="1" t="s">
        <v>4181</v>
      </c>
      <c r="P191" s="1">
        <v>3428</v>
      </c>
      <c r="Q191" s="64">
        <v>43073</v>
      </c>
      <c r="R191" s="64">
        <v>46724</v>
      </c>
      <c r="S191" s="62" t="s">
        <v>2440</v>
      </c>
      <c r="T191" s="29" t="s">
        <v>2441</v>
      </c>
      <c r="U191" s="2" t="s">
        <v>2444</v>
      </c>
      <c r="V191" s="23" t="s">
        <v>3570</v>
      </c>
      <c r="W191" s="23" t="s">
        <v>3571</v>
      </c>
      <c r="X191" s="23">
        <v>2591</v>
      </c>
      <c r="Y191" s="60">
        <v>95204.86</v>
      </c>
      <c r="Z191" s="60">
        <v>96445.51</v>
      </c>
      <c r="AA191" s="2" t="s">
        <v>3753</v>
      </c>
      <c r="AB191" s="104">
        <v>43720</v>
      </c>
      <c r="AC191" s="13" t="s">
        <v>2535</v>
      </c>
      <c r="AD191" s="2">
        <v>337</v>
      </c>
      <c r="AE191" s="2">
        <v>182</v>
      </c>
      <c r="AF191" s="2">
        <v>0.406</v>
      </c>
      <c r="AG191" s="69">
        <v>24</v>
      </c>
      <c r="AH191" s="43">
        <f>AF191*AD191*AG191*0.0036</f>
        <v>11.8214208</v>
      </c>
      <c r="AI191" s="43">
        <f>AF191*AE191*AG191*0.0036</f>
        <v>6.384268800000001</v>
      </c>
      <c r="AJ191" s="2">
        <v>30</v>
      </c>
      <c r="AK191" s="1">
        <v>12</v>
      </c>
      <c r="AL191" s="1">
        <v>0.64</v>
      </c>
      <c r="AM191" s="1">
        <v>0.64</v>
      </c>
      <c r="AN191" s="117">
        <f t="shared" si="4"/>
        <v>2723.65535232</v>
      </c>
      <c r="AO191" s="118">
        <f t="shared" si="5"/>
        <v>1470.93553152</v>
      </c>
      <c r="AP191" s="13" t="s">
        <v>2413</v>
      </c>
    </row>
    <row r="192" spans="1:42" ht="25.5">
      <c r="A192" s="2">
        <v>156</v>
      </c>
      <c r="B192" s="2">
        <v>163</v>
      </c>
      <c r="C192" s="1" t="s">
        <v>3828</v>
      </c>
      <c r="D192" s="1" t="s">
        <v>6</v>
      </c>
      <c r="E192" s="13">
        <v>3</v>
      </c>
      <c r="F192" s="13" t="s">
        <v>1597</v>
      </c>
      <c r="G192" s="2" t="s">
        <v>1598</v>
      </c>
      <c r="H192" s="2" t="s">
        <v>2502</v>
      </c>
      <c r="I192" s="1" t="s">
        <v>4166</v>
      </c>
      <c r="J192" s="1" t="s">
        <v>4127</v>
      </c>
      <c r="K192" s="63">
        <v>29104391</v>
      </c>
      <c r="L192" s="1" t="s">
        <v>2438</v>
      </c>
      <c r="M192" s="1">
        <v>3447000</v>
      </c>
      <c r="N192" s="1" t="s">
        <v>3735</v>
      </c>
      <c r="O192" s="1" t="s">
        <v>4181</v>
      </c>
      <c r="P192" s="1">
        <v>3428</v>
      </c>
      <c r="Q192" s="64">
        <v>43073</v>
      </c>
      <c r="R192" s="64">
        <v>46724</v>
      </c>
      <c r="S192" s="62" t="s">
        <v>2440</v>
      </c>
      <c r="T192" s="29" t="s">
        <v>2441</v>
      </c>
      <c r="U192" s="2" t="s">
        <v>2444</v>
      </c>
      <c r="V192" s="23" t="s">
        <v>3572</v>
      </c>
      <c r="W192" s="23" t="s">
        <v>3573</v>
      </c>
      <c r="X192" s="23">
        <v>2591</v>
      </c>
      <c r="Y192" s="60">
        <v>95207.32</v>
      </c>
      <c r="Z192" s="60">
        <v>96434.72</v>
      </c>
      <c r="AA192" s="2" t="s">
        <v>3753</v>
      </c>
      <c r="AB192" s="104">
        <v>43720</v>
      </c>
      <c r="AC192" s="13" t="s">
        <v>2534</v>
      </c>
      <c r="AD192" s="2">
        <v>434</v>
      </c>
      <c r="AE192" s="2">
        <v>254</v>
      </c>
      <c r="AF192" s="2">
        <v>0.957</v>
      </c>
      <c r="AG192" s="69">
        <v>24</v>
      </c>
      <c r="AH192" s="43">
        <f>AF192*AD192*AG192*0.0036</f>
        <v>35.8852032</v>
      </c>
      <c r="AI192" s="43">
        <f>AF192*AE192*AG192*0.0036</f>
        <v>21.0019392</v>
      </c>
      <c r="AJ192" s="2">
        <v>30</v>
      </c>
      <c r="AK192" s="1">
        <v>12</v>
      </c>
      <c r="AL192" s="1">
        <v>0.64</v>
      </c>
      <c r="AM192" s="1">
        <v>0.64</v>
      </c>
      <c r="AN192" s="117">
        <f t="shared" si="4"/>
        <v>8267.95081728</v>
      </c>
      <c r="AO192" s="118">
        <f t="shared" si="5"/>
        <v>4838.84679168</v>
      </c>
      <c r="AP192" s="13" t="s">
        <v>2413</v>
      </c>
    </row>
    <row r="193" spans="1:42" ht="61.5" customHeight="1">
      <c r="A193" s="2">
        <v>157</v>
      </c>
      <c r="B193" s="2">
        <v>164</v>
      </c>
      <c r="C193" s="1" t="s">
        <v>3828</v>
      </c>
      <c r="D193" s="1" t="s">
        <v>6</v>
      </c>
      <c r="E193" s="13">
        <v>3</v>
      </c>
      <c r="F193" s="13" t="s">
        <v>1599</v>
      </c>
      <c r="G193" s="2" t="s">
        <v>1600</v>
      </c>
      <c r="H193" s="2" t="s">
        <v>2502</v>
      </c>
      <c r="I193" s="1" t="s">
        <v>4166</v>
      </c>
      <c r="J193" s="1" t="s">
        <v>4127</v>
      </c>
      <c r="K193" s="63">
        <v>29104391</v>
      </c>
      <c r="L193" s="1" t="s">
        <v>2438</v>
      </c>
      <c r="M193" s="1">
        <v>3447000</v>
      </c>
      <c r="N193" s="1" t="s">
        <v>3735</v>
      </c>
      <c r="O193" s="1" t="s">
        <v>4181</v>
      </c>
      <c r="P193" s="1">
        <v>3428</v>
      </c>
      <c r="Q193" s="64">
        <v>43073</v>
      </c>
      <c r="R193" s="64">
        <v>46724</v>
      </c>
      <c r="S193" s="62" t="s">
        <v>2440</v>
      </c>
      <c r="T193" s="29" t="s">
        <v>2441</v>
      </c>
      <c r="U193" s="2" t="s">
        <v>2444</v>
      </c>
      <c r="V193" s="23" t="s">
        <v>3572</v>
      </c>
      <c r="W193" s="23" t="s">
        <v>3573</v>
      </c>
      <c r="X193" s="23">
        <v>2591</v>
      </c>
      <c r="Y193" s="60">
        <v>95207.32</v>
      </c>
      <c r="Z193" s="60">
        <v>96434.72</v>
      </c>
      <c r="AA193" s="2" t="s">
        <v>3852</v>
      </c>
      <c r="AB193" s="104">
        <v>43720</v>
      </c>
      <c r="AC193" s="50">
        <v>0.5701388888888889</v>
      </c>
      <c r="AD193" s="93"/>
      <c r="AE193" s="93"/>
      <c r="AF193" s="93"/>
      <c r="AG193" s="93"/>
      <c r="AH193" s="93"/>
      <c r="AI193" s="93"/>
      <c r="AJ193" s="93"/>
      <c r="AK193" s="93"/>
      <c r="AL193" s="93"/>
      <c r="AM193" s="93"/>
      <c r="AN193" s="117">
        <f t="shared" si="4"/>
        <v>0</v>
      </c>
      <c r="AO193" s="118">
        <f t="shared" si="5"/>
        <v>0</v>
      </c>
      <c r="AP193" s="13" t="s">
        <v>2413</v>
      </c>
    </row>
    <row r="194" spans="1:42" ht="77.25" customHeight="1">
      <c r="A194" s="2">
        <v>158</v>
      </c>
      <c r="B194" s="2">
        <v>165</v>
      </c>
      <c r="C194" s="1" t="s">
        <v>3828</v>
      </c>
      <c r="D194" s="1" t="s">
        <v>6</v>
      </c>
      <c r="E194" s="13">
        <v>3</v>
      </c>
      <c r="F194" s="13" t="s">
        <v>1601</v>
      </c>
      <c r="G194" s="2" t="s">
        <v>1602</v>
      </c>
      <c r="H194" s="2" t="s">
        <v>2502</v>
      </c>
      <c r="I194" s="1" t="s">
        <v>4166</v>
      </c>
      <c r="J194" s="1" t="s">
        <v>4127</v>
      </c>
      <c r="K194" s="63">
        <v>29104391</v>
      </c>
      <c r="L194" s="1" t="s">
        <v>2438</v>
      </c>
      <c r="M194" s="1">
        <v>3447000</v>
      </c>
      <c r="N194" s="1" t="s">
        <v>3735</v>
      </c>
      <c r="O194" s="1" t="s">
        <v>4181</v>
      </c>
      <c r="P194" s="1">
        <v>3428</v>
      </c>
      <c r="Q194" s="64">
        <v>43073</v>
      </c>
      <c r="R194" s="64">
        <v>46724</v>
      </c>
      <c r="S194" s="62" t="s">
        <v>2440</v>
      </c>
      <c r="T194" s="29" t="s">
        <v>2441</v>
      </c>
      <c r="U194" s="2" t="s">
        <v>2444</v>
      </c>
      <c r="V194" s="23" t="s">
        <v>3574</v>
      </c>
      <c r="W194" s="23" t="s">
        <v>3575</v>
      </c>
      <c r="X194" s="23">
        <v>2593</v>
      </c>
      <c r="Y194" s="60">
        <v>95080.09</v>
      </c>
      <c r="Z194" s="60">
        <v>96274.06</v>
      </c>
      <c r="AA194" s="2" t="s">
        <v>4115</v>
      </c>
      <c r="AB194" s="104">
        <v>43649</v>
      </c>
      <c r="AC194" s="82" t="s">
        <v>2461</v>
      </c>
      <c r="AD194" s="2">
        <v>364</v>
      </c>
      <c r="AE194" s="2">
        <v>307</v>
      </c>
      <c r="AF194" s="2">
        <v>5.896</v>
      </c>
      <c r="AG194" s="82">
        <v>24</v>
      </c>
      <c r="AH194" s="43">
        <f>AF194*AD194*AG194*0.0036</f>
        <v>185.42684159999996</v>
      </c>
      <c r="AI194" s="43">
        <f>AF194*AE194*AG194*0.0036</f>
        <v>156.39022079999998</v>
      </c>
      <c r="AJ194" s="2">
        <v>30</v>
      </c>
      <c r="AK194" s="1">
        <v>12</v>
      </c>
      <c r="AL194" s="1">
        <v>0.58</v>
      </c>
      <c r="AM194" s="1">
        <v>0.59</v>
      </c>
      <c r="AN194" s="117">
        <f>AH194*AJ194*AK194*AL194</f>
        <v>38717.12452607999</v>
      </c>
      <c r="AO194" s="118">
        <f>AI194*AJ194*AK194*AM194</f>
        <v>33217.28289792</v>
      </c>
      <c r="AP194" s="13" t="s">
        <v>2413</v>
      </c>
    </row>
    <row r="195" spans="1:42" ht="25.5">
      <c r="A195" s="2">
        <v>159</v>
      </c>
      <c r="B195" s="2">
        <v>166</v>
      </c>
      <c r="C195" s="1" t="s">
        <v>3828</v>
      </c>
      <c r="D195" s="1" t="s">
        <v>6</v>
      </c>
      <c r="E195" s="13">
        <v>3</v>
      </c>
      <c r="F195" s="13" t="s">
        <v>1603</v>
      </c>
      <c r="G195" s="2" t="s">
        <v>1604</v>
      </c>
      <c r="H195" s="2" t="s">
        <v>2502</v>
      </c>
      <c r="I195" s="1" t="s">
        <v>4166</v>
      </c>
      <c r="J195" s="1" t="s">
        <v>4127</v>
      </c>
      <c r="K195" s="63">
        <v>29104391</v>
      </c>
      <c r="L195" s="1" t="s">
        <v>2438</v>
      </c>
      <c r="M195" s="1">
        <v>3447000</v>
      </c>
      <c r="N195" s="1" t="s">
        <v>3735</v>
      </c>
      <c r="O195" s="1" t="s">
        <v>4181</v>
      </c>
      <c r="P195" s="1">
        <v>3428</v>
      </c>
      <c r="Q195" s="64">
        <v>43073</v>
      </c>
      <c r="R195" s="64">
        <v>46724</v>
      </c>
      <c r="S195" s="62" t="s">
        <v>2440</v>
      </c>
      <c r="T195" s="29" t="s">
        <v>2442</v>
      </c>
      <c r="U195" s="2" t="s">
        <v>2447</v>
      </c>
      <c r="V195" s="23" t="s">
        <v>3576</v>
      </c>
      <c r="W195" s="23" t="s">
        <v>3577</v>
      </c>
      <c r="X195" s="23">
        <v>2586</v>
      </c>
      <c r="Y195" s="60">
        <v>95039.53</v>
      </c>
      <c r="Z195" s="60">
        <v>96244.77</v>
      </c>
      <c r="AA195" s="2" t="s">
        <v>3741</v>
      </c>
      <c r="AB195" s="66"/>
      <c r="AC195" s="66"/>
      <c r="AD195" s="2"/>
      <c r="AE195" s="2"/>
      <c r="AF195" s="2"/>
      <c r="AG195" s="66"/>
      <c r="AH195" s="43"/>
      <c r="AI195" s="43"/>
      <c r="AJ195" s="2"/>
      <c r="AK195" s="1"/>
      <c r="AL195" s="1"/>
      <c r="AM195" s="1"/>
      <c r="AN195" s="44">
        <f t="shared" si="4"/>
        <v>0</v>
      </c>
      <c r="AO195" s="45">
        <f t="shared" si="5"/>
        <v>0</v>
      </c>
      <c r="AP195" s="13" t="s">
        <v>2413</v>
      </c>
    </row>
    <row r="196" spans="1:42" ht="25.5">
      <c r="A196" s="2">
        <v>160</v>
      </c>
      <c r="B196" s="2">
        <v>167</v>
      </c>
      <c r="C196" s="1" t="s">
        <v>3828</v>
      </c>
      <c r="D196" s="1" t="s">
        <v>6</v>
      </c>
      <c r="E196" s="13">
        <v>3</v>
      </c>
      <c r="F196" s="13" t="s">
        <v>1605</v>
      </c>
      <c r="G196" s="2" t="s">
        <v>1606</v>
      </c>
      <c r="H196" s="2" t="s">
        <v>2502</v>
      </c>
      <c r="I196" s="1" t="s">
        <v>4166</v>
      </c>
      <c r="J196" s="1" t="s">
        <v>4127</v>
      </c>
      <c r="K196" s="63">
        <v>29104391</v>
      </c>
      <c r="L196" s="1" t="s">
        <v>2438</v>
      </c>
      <c r="M196" s="1">
        <v>3447000</v>
      </c>
      <c r="N196" s="1" t="s">
        <v>3735</v>
      </c>
      <c r="O196" s="1" t="s">
        <v>4181</v>
      </c>
      <c r="P196" s="1">
        <v>3428</v>
      </c>
      <c r="Q196" s="64">
        <v>43073</v>
      </c>
      <c r="R196" s="64">
        <v>46724</v>
      </c>
      <c r="S196" s="62" t="s">
        <v>2440</v>
      </c>
      <c r="T196" s="29" t="s">
        <v>2442</v>
      </c>
      <c r="U196" s="2" t="s">
        <v>2447</v>
      </c>
      <c r="V196" s="23" t="s">
        <v>3578</v>
      </c>
      <c r="W196" s="23" t="s">
        <v>3579</v>
      </c>
      <c r="X196" s="23">
        <v>2581</v>
      </c>
      <c r="Y196" s="60">
        <v>94940.57</v>
      </c>
      <c r="Z196" s="60">
        <v>96100.45</v>
      </c>
      <c r="AA196" s="2" t="s">
        <v>3741</v>
      </c>
      <c r="AB196" s="66"/>
      <c r="AC196" s="66"/>
      <c r="AD196" s="2"/>
      <c r="AE196" s="2"/>
      <c r="AF196" s="2"/>
      <c r="AG196" s="66"/>
      <c r="AH196" s="43"/>
      <c r="AI196" s="43"/>
      <c r="AJ196" s="2"/>
      <c r="AK196" s="1"/>
      <c r="AL196" s="1"/>
      <c r="AM196" s="1"/>
      <c r="AN196" s="44">
        <f t="shared" si="4"/>
        <v>0</v>
      </c>
      <c r="AO196" s="45">
        <f t="shared" si="5"/>
        <v>0</v>
      </c>
      <c r="AP196" s="13" t="s">
        <v>2413</v>
      </c>
    </row>
    <row r="197" spans="1:42" ht="25.5">
      <c r="A197" s="2">
        <v>161</v>
      </c>
      <c r="B197" s="2">
        <v>168</v>
      </c>
      <c r="C197" s="1" t="s">
        <v>3828</v>
      </c>
      <c r="D197" s="1" t="s">
        <v>6</v>
      </c>
      <c r="E197" s="13">
        <v>3</v>
      </c>
      <c r="F197" s="13" t="s">
        <v>1607</v>
      </c>
      <c r="G197" s="2" t="s">
        <v>1608</v>
      </c>
      <c r="H197" s="2" t="s">
        <v>2502</v>
      </c>
      <c r="I197" s="1" t="s">
        <v>4166</v>
      </c>
      <c r="J197" s="1" t="s">
        <v>4127</v>
      </c>
      <c r="K197" s="63">
        <v>29104391</v>
      </c>
      <c r="L197" s="1" t="s">
        <v>2438</v>
      </c>
      <c r="M197" s="1">
        <v>3447000</v>
      </c>
      <c r="N197" s="1" t="s">
        <v>3735</v>
      </c>
      <c r="O197" s="1" t="s">
        <v>4181</v>
      </c>
      <c r="P197" s="1">
        <v>3428</v>
      </c>
      <c r="Q197" s="64">
        <v>43073</v>
      </c>
      <c r="R197" s="64">
        <v>46724</v>
      </c>
      <c r="S197" s="62" t="s">
        <v>2440</v>
      </c>
      <c r="T197" s="29" t="s">
        <v>2442</v>
      </c>
      <c r="U197" s="2" t="s">
        <v>2444</v>
      </c>
      <c r="V197" s="23" t="s">
        <v>3578</v>
      </c>
      <c r="W197" s="23" t="s">
        <v>3579</v>
      </c>
      <c r="X197" s="23">
        <v>2581</v>
      </c>
      <c r="Y197" s="60">
        <v>94940.57</v>
      </c>
      <c r="Z197" s="60">
        <v>96100.45</v>
      </c>
      <c r="AA197" s="2" t="s">
        <v>3741</v>
      </c>
      <c r="AB197" s="66"/>
      <c r="AC197" s="66"/>
      <c r="AD197" s="2"/>
      <c r="AE197" s="2"/>
      <c r="AF197" s="2"/>
      <c r="AG197" s="66"/>
      <c r="AH197" s="43"/>
      <c r="AI197" s="43"/>
      <c r="AJ197" s="2"/>
      <c r="AK197" s="1"/>
      <c r="AL197" s="1"/>
      <c r="AM197" s="1"/>
      <c r="AN197" s="44">
        <f t="shared" si="4"/>
        <v>0</v>
      </c>
      <c r="AO197" s="45">
        <f t="shared" si="5"/>
        <v>0</v>
      </c>
      <c r="AP197" s="13" t="s">
        <v>2413</v>
      </c>
    </row>
    <row r="198" spans="1:42" ht="25.5">
      <c r="A198" s="2">
        <v>162</v>
      </c>
      <c r="B198" s="2">
        <v>169</v>
      </c>
      <c r="C198" s="1" t="s">
        <v>3828</v>
      </c>
      <c r="D198" s="1" t="s">
        <v>6</v>
      </c>
      <c r="E198" s="13">
        <v>3</v>
      </c>
      <c r="F198" s="13" t="s">
        <v>2206</v>
      </c>
      <c r="G198" s="2" t="s">
        <v>2207</v>
      </c>
      <c r="H198" s="2" t="s">
        <v>2502</v>
      </c>
      <c r="I198" s="1" t="s">
        <v>4166</v>
      </c>
      <c r="J198" s="1" t="s">
        <v>4127</v>
      </c>
      <c r="K198" s="63">
        <v>29104391</v>
      </c>
      <c r="L198" s="1" t="s">
        <v>2438</v>
      </c>
      <c r="M198" s="1">
        <v>3447000</v>
      </c>
      <c r="N198" s="1" t="s">
        <v>3735</v>
      </c>
      <c r="O198" s="1" t="s">
        <v>4181</v>
      </c>
      <c r="P198" s="1">
        <v>3428</v>
      </c>
      <c r="Q198" s="64">
        <v>43073</v>
      </c>
      <c r="R198" s="64">
        <v>46724</v>
      </c>
      <c r="S198" s="62" t="s">
        <v>2440</v>
      </c>
      <c r="T198" s="29" t="s">
        <v>2441</v>
      </c>
      <c r="U198" s="2" t="s">
        <v>2444</v>
      </c>
      <c r="V198" s="23" t="s">
        <v>3580</v>
      </c>
      <c r="W198" s="23" t="s">
        <v>3581</v>
      </c>
      <c r="X198" s="23">
        <v>2580</v>
      </c>
      <c r="Y198" s="60">
        <v>94904.61</v>
      </c>
      <c r="Z198" s="60">
        <v>96029.83</v>
      </c>
      <c r="AA198" s="2" t="s">
        <v>3741</v>
      </c>
      <c r="AB198" s="66"/>
      <c r="AC198" s="66"/>
      <c r="AD198" s="2"/>
      <c r="AE198" s="2"/>
      <c r="AF198" s="2"/>
      <c r="AG198" s="66"/>
      <c r="AH198" s="43"/>
      <c r="AI198" s="43"/>
      <c r="AJ198" s="2"/>
      <c r="AK198" s="1"/>
      <c r="AL198" s="1"/>
      <c r="AM198" s="1"/>
      <c r="AN198" s="44">
        <f t="shared" si="4"/>
        <v>0</v>
      </c>
      <c r="AO198" s="45">
        <f t="shared" si="5"/>
        <v>0</v>
      </c>
      <c r="AP198" s="13" t="s">
        <v>2413</v>
      </c>
    </row>
    <row r="199" spans="1:42" ht="25.5">
      <c r="A199" s="2">
        <v>163</v>
      </c>
      <c r="B199" s="2">
        <v>170</v>
      </c>
      <c r="C199" s="1" t="s">
        <v>3828</v>
      </c>
      <c r="D199" s="1" t="s">
        <v>6</v>
      </c>
      <c r="E199" s="13">
        <v>3</v>
      </c>
      <c r="F199" s="13" t="s">
        <v>2208</v>
      </c>
      <c r="G199" s="2" t="s">
        <v>2207</v>
      </c>
      <c r="H199" s="2" t="s">
        <v>2502</v>
      </c>
      <c r="I199" s="1" t="s">
        <v>4166</v>
      </c>
      <c r="J199" s="1" t="s">
        <v>4127</v>
      </c>
      <c r="K199" s="63">
        <v>29104391</v>
      </c>
      <c r="L199" s="1" t="s">
        <v>2438</v>
      </c>
      <c r="M199" s="1">
        <v>3447000</v>
      </c>
      <c r="N199" s="1" t="s">
        <v>3735</v>
      </c>
      <c r="O199" s="1" t="s">
        <v>4181</v>
      </c>
      <c r="P199" s="1">
        <v>3428</v>
      </c>
      <c r="Q199" s="64">
        <v>43073</v>
      </c>
      <c r="R199" s="64">
        <v>46724</v>
      </c>
      <c r="S199" s="62" t="s">
        <v>2440</v>
      </c>
      <c r="T199" s="29" t="s">
        <v>2442</v>
      </c>
      <c r="U199" s="2" t="s">
        <v>2447</v>
      </c>
      <c r="V199" s="23" t="s">
        <v>3582</v>
      </c>
      <c r="W199" s="23" t="s">
        <v>3583</v>
      </c>
      <c r="X199" s="23">
        <v>2581</v>
      </c>
      <c r="Y199" s="60">
        <v>94879.72</v>
      </c>
      <c r="Z199" s="60">
        <v>96047.41</v>
      </c>
      <c r="AA199" s="2" t="s">
        <v>3741</v>
      </c>
      <c r="AB199" s="66"/>
      <c r="AC199" s="66"/>
      <c r="AD199" s="2"/>
      <c r="AE199" s="2"/>
      <c r="AF199" s="2"/>
      <c r="AG199" s="66"/>
      <c r="AH199" s="43"/>
      <c r="AI199" s="43"/>
      <c r="AJ199" s="2"/>
      <c r="AK199" s="1"/>
      <c r="AL199" s="1"/>
      <c r="AM199" s="1"/>
      <c r="AN199" s="44">
        <f t="shared" si="4"/>
        <v>0</v>
      </c>
      <c r="AO199" s="45">
        <f t="shared" si="5"/>
        <v>0</v>
      </c>
      <c r="AP199" s="13" t="s">
        <v>2413</v>
      </c>
    </row>
    <row r="200" spans="1:42" ht="25.5">
      <c r="A200" s="2">
        <v>164</v>
      </c>
      <c r="B200" s="2">
        <v>171</v>
      </c>
      <c r="C200" s="1" t="s">
        <v>3828</v>
      </c>
      <c r="D200" s="1" t="s">
        <v>6</v>
      </c>
      <c r="E200" s="13">
        <v>3</v>
      </c>
      <c r="F200" s="13" t="s">
        <v>1609</v>
      </c>
      <c r="G200" s="2" t="s">
        <v>1610</v>
      </c>
      <c r="H200" s="2" t="s">
        <v>2502</v>
      </c>
      <c r="I200" s="1" t="s">
        <v>4166</v>
      </c>
      <c r="J200" s="1" t="s">
        <v>4127</v>
      </c>
      <c r="K200" s="63">
        <v>29104391</v>
      </c>
      <c r="L200" s="1" t="s">
        <v>2438</v>
      </c>
      <c r="M200" s="1">
        <v>3447000</v>
      </c>
      <c r="N200" s="1" t="s">
        <v>3735</v>
      </c>
      <c r="O200" s="1" t="s">
        <v>4181</v>
      </c>
      <c r="P200" s="1">
        <v>3428</v>
      </c>
      <c r="Q200" s="64">
        <v>43073</v>
      </c>
      <c r="R200" s="64">
        <v>46724</v>
      </c>
      <c r="S200" s="62" t="s">
        <v>2440</v>
      </c>
      <c r="T200" s="29" t="s">
        <v>2442</v>
      </c>
      <c r="U200" s="2" t="s">
        <v>2447</v>
      </c>
      <c r="V200" s="23" t="s">
        <v>3584</v>
      </c>
      <c r="W200" s="23" t="s">
        <v>3585</v>
      </c>
      <c r="X200" s="23">
        <v>2580</v>
      </c>
      <c r="Y200" s="60">
        <v>94864.66</v>
      </c>
      <c r="Z200" s="60">
        <v>96011.33</v>
      </c>
      <c r="AA200" s="2" t="s">
        <v>3741</v>
      </c>
      <c r="AB200" s="66"/>
      <c r="AC200" s="66"/>
      <c r="AD200" s="2"/>
      <c r="AE200" s="2"/>
      <c r="AF200" s="2"/>
      <c r="AG200" s="66"/>
      <c r="AH200" s="43"/>
      <c r="AI200" s="43"/>
      <c r="AJ200" s="2"/>
      <c r="AK200" s="1"/>
      <c r="AL200" s="1"/>
      <c r="AM200" s="1"/>
      <c r="AN200" s="44">
        <f t="shared" si="4"/>
        <v>0</v>
      </c>
      <c r="AO200" s="45">
        <f t="shared" si="5"/>
        <v>0</v>
      </c>
      <c r="AP200" s="13" t="s">
        <v>2413</v>
      </c>
    </row>
    <row r="201" spans="1:42" ht="25.5">
      <c r="A201" s="2">
        <v>165</v>
      </c>
      <c r="B201" s="2">
        <v>172</v>
      </c>
      <c r="C201" s="1" t="s">
        <v>3828</v>
      </c>
      <c r="D201" s="1" t="s">
        <v>6</v>
      </c>
      <c r="E201" s="13">
        <v>3</v>
      </c>
      <c r="F201" s="13" t="s">
        <v>2209</v>
      </c>
      <c r="G201" s="2" t="s">
        <v>2210</v>
      </c>
      <c r="H201" s="2" t="s">
        <v>2502</v>
      </c>
      <c r="I201" s="1" t="s">
        <v>4166</v>
      </c>
      <c r="J201" s="1" t="s">
        <v>4127</v>
      </c>
      <c r="K201" s="63">
        <v>29104391</v>
      </c>
      <c r="L201" s="1" t="s">
        <v>2438</v>
      </c>
      <c r="M201" s="1">
        <v>3447000</v>
      </c>
      <c r="N201" s="1" t="s">
        <v>3735</v>
      </c>
      <c r="O201" s="1" t="s">
        <v>4181</v>
      </c>
      <c r="P201" s="1">
        <v>3428</v>
      </c>
      <c r="Q201" s="64">
        <v>43073</v>
      </c>
      <c r="R201" s="64">
        <v>46724</v>
      </c>
      <c r="S201" s="62" t="s">
        <v>2440</v>
      </c>
      <c r="T201" s="29" t="s">
        <v>2441</v>
      </c>
      <c r="U201" s="2" t="s">
        <v>2444</v>
      </c>
      <c r="V201" s="23" t="s">
        <v>3586</v>
      </c>
      <c r="W201" s="23" t="s">
        <v>3587</v>
      </c>
      <c r="X201" s="23">
        <v>2580</v>
      </c>
      <c r="Y201" s="60">
        <v>94841.92</v>
      </c>
      <c r="Z201" s="60">
        <v>96007.94</v>
      </c>
      <c r="AA201" s="2" t="s">
        <v>3741</v>
      </c>
      <c r="AB201" s="66"/>
      <c r="AC201" s="66"/>
      <c r="AD201" s="2"/>
      <c r="AE201" s="2"/>
      <c r="AF201" s="2"/>
      <c r="AG201" s="66"/>
      <c r="AH201" s="43"/>
      <c r="AI201" s="43"/>
      <c r="AJ201" s="2"/>
      <c r="AK201" s="1"/>
      <c r="AL201" s="1"/>
      <c r="AM201" s="1"/>
      <c r="AN201" s="44">
        <f t="shared" si="4"/>
        <v>0</v>
      </c>
      <c r="AO201" s="45">
        <f t="shared" si="5"/>
        <v>0</v>
      </c>
      <c r="AP201" s="13" t="s">
        <v>2413</v>
      </c>
    </row>
    <row r="202" spans="1:42" ht="25.5">
      <c r="A202" s="2">
        <v>166</v>
      </c>
      <c r="B202" s="2">
        <v>173</v>
      </c>
      <c r="C202" s="1" t="s">
        <v>3828</v>
      </c>
      <c r="D202" s="1" t="s">
        <v>6</v>
      </c>
      <c r="E202" s="13">
        <v>3</v>
      </c>
      <c r="F202" s="13" t="s">
        <v>1611</v>
      </c>
      <c r="G202" s="2" t="s">
        <v>1612</v>
      </c>
      <c r="H202" s="2" t="s">
        <v>2502</v>
      </c>
      <c r="I202" s="1" t="s">
        <v>4166</v>
      </c>
      <c r="J202" s="1" t="s">
        <v>4127</v>
      </c>
      <c r="K202" s="63">
        <v>29104391</v>
      </c>
      <c r="L202" s="1" t="s">
        <v>2438</v>
      </c>
      <c r="M202" s="1">
        <v>3447000</v>
      </c>
      <c r="N202" s="1" t="s">
        <v>3735</v>
      </c>
      <c r="O202" s="1" t="s">
        <v>4181</v>
      </c>
      <c r="P202" s="1">
        <v>3428</v>
      </c>
      <c r="Q202" s="64">
        <v>43073</v>
      </c>
      <c r="R202" s="64">
        <v>46724</v>
      </c>
      <c r="S202" s="62" t="s">
        <v>2440</v>
      </c>
      <c r="T202" s="29" t="s">
        <v>2442</v>
      </c>
      <c r="U202" s="2" t="s">
        <v>2443</v>
      </c>
      <c r="V202" s="23" t="s">
        <v>3588</v>
      </c>
      <c r="W202" s="23" t="s">
        <v>3589</v>
      </c>
      <c r="X202" s="23">
        <v>2579</v>
      </c>
      <c r="Y202" s="60">
        <v>94837.62</v>
      </c>
      <c r="Z202" s="60">
        <v>95972.79</v>
      </c>
      <c r="AA202" s="2" t="s">
        <v>3741</v>
      </c>
      <c r="AB202" s="66"/>
      <c r="AC202" s="66"/>
      <c r="AD202" s="2"/>
      <c r="AE202" s="2"/>
      <c r="AF202" s="2"/>
      <c r="AG202" s="66"/>
      <c r="AH202" s="43"/>
      <c r="AI202" s="43"/>
      <c r="AJ202" s="2"/>
      <c r="AK202" s="1"/>
      <c r="AL202" s="1"/>
      <c r="AM202" s="1"/>
      <c r="AN202" s="44">
        <f t="shared" si="4"/>
        <v>0</v>
      </c>
      <c r="AO202" s="45">
        <f t="shared" si="5"/>
        <v>0</v>
      </c>
      <c r="AP202" s="13" t="s">
        <v>2413</v>
      </c>
    </row>
    <row r="203" spans="1:42" ht="25.5">
      <c r="A203" s="2">
        <v>167</v>
      </c>
      <c r="B203" s="2">
        <v>174</v>
      </c>
      <c r="C203" s="1" t="s">
        <v>3828</v>
      </c>
      <c r="D203" s="1" t="s">
        <v>6</v>
      </c>
      <c r="E203" s="13">
        <v>3</v>
      </c>
      <c r="F203" s="13" t="s">
        <v>1613</v>
      </c>
      <c r="G203" s="2" t="s">
        <v>1614</v>
      </c>
      <c r="H203" s="2" t="s">
        <v>2502</v>
      </c>
      <c r="I203" s="1" t="s">
        <v>4166</v>
      </c>
      <c r="J203" s="1" t="s">
        <v>4127</v>
      </c>
      <c r="K203" s="63">
        <v>29104391</v>
      </c>
      <c r="L203" s="1" t="s">
        <v>2438</v>
      </c>
      <c r="M203" s="1">
        <v>3447000</v>
      </c>
      <c r="N203" s="1" t="s">
        <v>3735</v>
      </c>
      <c r="O203" s="1" t="s">
        <v>4181</v>
      </c>
      <c r="P203" s="1">
        <v>3428</v>
      </c>
      <c r="Q203" s="64">
        <v>43073</v>
      </c>
      <c r="R203" s="64">
        <v>46724</v>
      </c>
      <c r="S203" s="62" t="s">
        <v>2440</v>
      </c>
      <c r="T203" s="29" t="s">
        <v>2442</v>
      </c>
      <c r="U203" s="2" t="s">
        <v>2444</v>
      </c>
      <c r="V203" s="23" t="s">
        <v>3590</v>
      </c>
      <c r="W203" s="23" t="s">
        <v>3591</v>
      </c>
      <c r="X203" s="23">
        <v>2579</v>
      </c>
      <c r="Y203" s="60">
        <v>94821.33</v>
      </c>
      <c r="Z203" s="60">
        <v>95937.63</v>
      </c>
      <c r="AA203" s="2" t="s">
        <v>3741</v>
      </c>
      <c r="AB203" s="66"/>
      <c r="AC203" s="66"/>
      <c r="AD203" s="2"/>
      <c r="AE203" s="2"/>
      <c r="AF203" s="2"/>
      <c r="AG203" s="66"/>
      <c r="AH203" s="43"/>
      <c r="AI203" s="43"/>
      <c r="AJ203" s="2"/>
      <c r="AK203" s="1"/>
      <c r="AL203" s="1"/>
      <c r="AM203" s="1"/>
      <c r="AN203" s="44">
        <f t="shared" si="4"/>
        <v>0</v>
      </c>
      <c r="AO203" s="45">
        <f t="shared" si="5"/>
        <v>0</v>
      </c>
      <c r="AP203" s="13" t="s">
        <v>2413</v>
      </c>
    </row>
    <row r="204" spans="1:42" ht="25.5">
      <c r="A204" s="2">
        <v>168</v>
      </c>
      <c r="B204" s="2">
        <v>175</v>
      </c>
      <c r="C204" s="1" t="s">
        <v>3828</v>
      </c>
      <c r="D204" s="1" t="s">
        <v>6</v>
      </c>
      <c r="E204" s="13">
        <v>3</v>
      </c>
      <c r="F204" s="13" t="s">
        <v>1615</v>
      </c>
      <c r="G204" s="2" t="s">
        <v>1616</v>
      </c>
      <c r="H204" s="2" t="s">
        <v>2502</v>
      </c>
      <c r="I204" s="1" t="s">
        <v>4166</v>
      </c>
      <c r="J204" s="1" t="s">
        <v>4127</v>
      </c>
      <c r="K204" s="63">
        <v>29104391</v>
      </c>
      <c r="L204" s="1" t="s">
        <v>2438</v>
      </c>
      <c r="M204" s="1">
        <v>3447000</v>
      </c>
      <c r="N204" s="1" t="s">
        <v>3735</v>
      </c>
      <c r="O204" s="1" t="s">
        <v>4181</v>
      </c>
      <c r="P204" s="1">
        <v>3428</v>
      </c>
      <c r="Q204" s="64">
        <v>43073</v>
      </c>
      <c r="R204" s="64">
        <v>46724</v>
      </c>
      <c r="S204" s="62" t="s">
        <v>2440</v>
      </c>
      <c r="T204" s="29" t="s">
        <v>2442</v>
      </c>
      <c r="U204" s="2" t="s">
        <v>2444</v>
      </c>
      <c r="V204" s="23" t="s">
        <v>3592</v>
      </c>
      <c r="W204" s="23" t="s">
        <v>3593</v>
      </c>
      <c r="X204" s="23">
        <v>2579</v>
      </c>
      <c r="Y204" s="60">
        <v>94816.11</v>
      </c>
      <c r="Z204" s="60">
        <v>95920.98</v>
      </c>
      <c r="AA204" s="2" t="s">
        <v>3753</v>
      </c>
      <c r="AB204" s="94">
        <v>43724</v>
      </c>
      <c r="AC204" s="20" t="s">
        <v>3853</v>
      </c>
      <c r="AD204" s="2">
        <v>334</v>
      </c>
      <c r="AE204" s="2">
        <v>290</v>
      </c>
      <c r="AF204" s="2">
        <v>30.231</v>
      </c>
      <c r="AG204" s="69">
        <v>24</v>
      </c>
      <c r="AH204" s="102">
        <f>AF204*AD204*AG204*0.0036</f>
        <v>872.3941056</v>
      </c>
      <c r="AI204" s="102">
        <f>AF204*AE204*AG204*0.0036</f>
        <v>757.467936</v>
      </c>
      <c r="AJ204" s="2">
        <v>30</v>
      </c>
      <c r="AK204" s="1">
        <v>12</v>
      </c>
      <c r="AL204" s="1">
        <v>0.55</v>
      </c>
      <c r="AM204" s="1">
        <v>0.59</v>
      </c>
      <c r="AN204" s="117">
        <f>AH204*AJ204*AK204*AL204</f>
        <v>172734.0329088</v>
      </c>
      <c r="AO204" s="118">
        <f>AI204*AJ204*AK204*AM204</f>
        <v>160886.18960639997</v>
      </c>
      <c r="AP204" s="13" t="s">
        <v>2413</v>
      </c>
    </row>
    <row r="205" spans="1:42" ht="74.25" customHeight="1">
      <c r="A205" s="2">
        <v>169</v>
      </c>
      <c r="B205" s="2">
        <v>176</v>
      </c>
      <c r="C205" s="1" t="s">
        <v>3828</v>
      </c>
      <c r="D205" s="1" t="s">
        <v>6</v>
      </c>
      <c r="E205" s="13">
        <v>3</v>
      </c>
      <c r="F205" s="13" t="s">
        <v>1617</v>
      </c>
      <c r="G205" s="2" t="s">
        <v>1618</v>
      </c>
      <c r="H205" s="2" t="s">
        <v>2502</v>
      </c>
      <c r="I205" s="1" t="s">
        <v>4166</v>
      </c>
      <c r="J205" s="1" t="s">
        <v>4127</v>
      </c>
      <c r="K205" s="63">
        <v>29104391</v>
      </c>
      <c r="L205" s="1" t="s">
        <v>2438</v>
      </c>
      <c r="M205" s="1">
        <v>3447000</v>
      </c>
      <c r="N205" s="1" t="s">
        <v>3735</v>
      </c>
      <c r="O205" s="1" t="s">
        <v>4181</v>
      </c>
      <c r="P205" s="1">
        <v>3428</v>
      </c>
      <c r="Q205" s="64">
        <v>43073</v>
      </c>
      <c r="R205" s="64">
        <v>46724</v>
      </c>
      <c r="S205" s="62" t="s">
        <v>2440</v>
      </c>
      <c r="T205" s="29" t="s">
        <v>2442</v>
      </c>
      <c r="U205" s="2" t="s">
        <v>2444</v>
      </c>
      <c r="V205" s="23" t="s">
        <v>3594</v>
      </c>
      <c r="W205" s="23" t="s">
        <v>3595</v>
      </c>
      <c r="X205" s="23">
        <v>2580</v>
      </c>
      <c r="Y205" s="60">
        <v>94806.89</v>
      </c>
      <c r="Z205" s="60">
        <v>95862.08</v>
      </c>
      <c r="AA205" s="2" t="s">
        <v>3854</v>
      </c>
      <c r="AB205" s="94">
        <v>43334</v>
      </c>
      <c r="AC205" s="50">
        <v>0.548611111111111</v>
      </c>
      <c r="AD205" s="93"/>
      <c r="AE205" s="93"/>
      <c r="AF205" s="93"/>
      <c r="AG205" s="93"/>
      <c r="AH205" s="93"/>
      <c r="AI205" s="93"/>
      <c r="AJ205" s="93"/>
      <c r="AK205" s="93"/>
      <c r="AL205" s="93"/>
      <c r="AM205" s="93"/>
      <c r="AN205" s="117">
        <v>29.84973930986867</v>
      </c>
      <c r="AO205" s="118">
        <v>25.805588530124556</v>
      </c>
      <c r="AP205" s="13" t="s">
        <v>2413</v>
      </c>
    </row>
    <row r="206" spans="1:42" ht="25.5">
      <c r="A206" s="2">
        <v>170</v>
      </c>
      <c r="B206" s="2">
        <v>177</v>
      </c>
      <c r="C206" s="1" t="s">
        <v>3828</v>
      </c>
      <c r="D206" s="1" t="s">
        <v>6</v>
      </c>
      <c r="E206" s="13">
        <v>3</v>
      </c>
      <c r="F206" s="13" t="s">
        <v>1619</v>
      </c>
      <c r="G206" s="2" t="s">
        <v>1620</v>
      </c>
      <c r="H206" s="2" t="s">
        <v>2502</v>
      </c>
      <c r="I206" s="1" t="s">
        <v>4166</v>
      </c>
      <c r="J206" s="1" t="s">
        <v>4127</v>
      </c>
      <c r="K206" s="63">
        <v>29104391</v>
      </c>
      <c r="L206" s="1" t="s">
        <v>2438</v>
      </c>
      <c r="M206" s="1">
        <v>3447000</v>
      </c>
      <c r="N206" s="1" t="s">
        <v>3735</v>
      </c>
      <c r="O206" s="1" t="s">
        <v>4181</v>
      </c>
      <c r="P206" s="1">
        <v>3428</v>
      </c>
      <c r="Q206" s="64">
        <v>43073</v>
      </c>
      <c r="R206" s="64">
        <v>46724</v>
      </c>
      <c r="S206" s="62" t="s">
        <v>2440</v>
      </c>
      <c r="T206" s="29" t="s">
        <v>2442</v>
      </c>
      <c r="U206" s="2" t="s">
        <v>2444</v>
      </c>
      <c r="V206" s="23" t="s">
        <v>3596</v>
      </c>
      <c r="W206" s="23" t="s">
        <v>3597</v>
      </c>
      <c r="X206" s="23">
        <v>2580</v>
      </c>
      <c r="Y206" s="60">
        <v>94809.65</v>
      </c>
      <c r="Z206" s="60">
        <v>95853.14</v>
      </c>
      <c r="AA206" s="2" t="s">
        <v>3741</v>
      </c>
      <c r="AB206" s="66"/>
      <c r="AC206" s="66"/>
      <c r="AD206" s="93"/>
      <c r="AE206" s="93"/>
      <c r="AF206" s="93"/>
      <c r="AG206" s="93"/>
      <c r="AH206" s="93"/>
      <c r="AI206" s="93"/>
      <c r="AJ206" s="93"/>
      <c r="AK206" s="93"/>
      <c r="AL206" s="93"/>
      <c r="AM206" s="93"/>
      <c r="AN206" s="117">
        <f t="shared" si="4"/>
        <v>0</v>
      </c>
      <c r="AO206" s="118">
        <f t="shared" si="5"/>
        <v>0</v>
      </c>
      <c r="AP206" s="13" t="s">
        <v>2413</v>
      </c>
    </row>
    <row r="207" spans="1:42" ht="25.5">
      <c r="A207" s="2">
        <v>171</v>
      </c>
      <c r="B207" s="2">
        <v>178</v>
      </c>
      <c r="C207" s="1" t="s">
        <v>3828</v>
      </c>
      <c r="D207" s="1" t="s">
        <v>6</v>
      </c>
      <c r="E207" s="13">
        <v>3</v>
      </c>
      <c r="F207" s="13" t="s">
        <v>1621</v>
      </c>
      <c r="G207" s="2" t="s">
        <v>1622</v>
      </c>
      <c r="H207" s="2" t="s">
        <v>2502</v>
      </c>
      <c r="I207" s="1" t="s">
        <v>4166</v>
      </c>
      <c r="J207" s="1" t="s">
        <v>4127</v>
      </c>
      <c r="K207" s="63">
        <v>29104391</v>
      </c>
      <c r="L207" s="1" t="s">
        <v>2438</v>
      </c>
      <c r="M207" s="1">
        <v>3447000</v>
      </c>
      <c r="N207" s="1" t="s">
        <v>3735</v>
      </c>
      <c r="O207" s="1" t="s">
        <v>4181</v>
      </c>
      <c r="P207" s="1">
        <v>3428</v>
      </c>
      <c r="Q207" s="64">
        <v>43073</v>
      </c>
      <c r="R207" s="64">
        <v>46724</v>
      </c>
      <c r="S207" s="62" t="s">
        <v>2440</v>
      </c>
      <c r="T207" s="29" t="s">
        <v>2441</v>
      </c>
      <c r="U207" s="2" t="s">
        <v>2444</v>
      </c>
      <c r="V207" s="23" t="s">
        <v>3598</v>
      </c>
      <c r="W207" s="23" t="s">
        <v>3599</v>
      </c>
      <c r="X207" s="23">
        <v>2572</v>
      </c>
      <c r="Y207" s="60">
        <v>95112.63</v>
      </c>
      <c r="Z207" s="60">
        <v>95453.78</v>
      </c>
      <c r="AA207" s="2" t="s">
        <v>3753</v>
      </c>
      <c r="AB207" s="94">
        <v>43726</v>
      </c>
      <c r="AC207" s="20" t="s">
        <v>2473</v>
      </c>
      <c r="AD207" s="2">
        <v>29</v>
      </c>
      <c r="AE207" s="2">
        <v>964</v>
      </c>
      <c r="AF207" s="2">
        <v>0.677</v>
      </c>
      <c r="AG207" s="69">
        <v>24</v>
      </c>
      <c r="AH207" s="43">
        <f>AF207*AD207*AG207*0.0036</f>
        <v>1.6962912</v>
      </c>
      <c r="AI207" s="43">
        <f>AF207*AE207*AG207*0.0036</f>
        <v>56.387059199999996</v>
      </c>
      <c r="AJ207" s="2">
        <v>30</v>
      </c>
      <c r="AK207" s="1">
        <v>12</v>
      </c>
      <c r="AL207" s="1">
        <v>0.51</v>
      </c>
      <c r="AM207" s="1">
        <v>0.58</v>
      </c>
      <c r="AN207" s="117">
        <f>AH207*AJ207*AK207*AL207</f>
        <v>311.43906432000006</v>
      </c>
      <c r="AO207" s="118">
        <f>AI207*AJ207*AK207*AM207</f>
        <v>11773.61796096</v>
      </c>
      <c r="AP207" s="13" t="s">
        <v>2413</v>
      </c>
    </row>
    <row r="208" spans="1:42" ht="38.25">
      <c r="A208" s="2">
        <v>172</v>
      </c>
      <c r="B208" s="2">
        <v>179</v>
      </c>
      <c r="C208" s="1" t="s">
        <v>3828</v>
      </c>
      <c r="D208" s="1" t="s">
        <v>6</v>
      </c>
      <c r="E208" s="13">
        <v>3</v>
      </c>
      <c r="F208" s="13" t="s">
        <v>2312</v>
      </c>
      <c r="G208" s="2" t="s">
        <v>1623</v>
      </c>
      <c r="H208" s="2" t="s">
        <v>2502</v>
      </c>
      <c r="I208" s="1" t="s">
        <v>4166</v>
      </c>
      <c r="J208" s="1" t="s">
        <v>4127</v>
      </c>
      <c r="K208" s="63">
        <v>29104391</v>
      </c>
      <c r="L208" s="1" t="s">
        <v>2438</v>
      </c>
      <c r="M208" s="1">
        <v>3447000</v>
      </c>
      <c r="N208" s="1" t="s">
        <v>3735</v>
      </c>
      <c r="O208" s="1" t="s">
        <v>4181</v>
      </c>
      <c r="P208" s="1">
        <v>3428</v>
      </c>
      <c r="Q208" s="64">
        <v>43073</v>
      </c>
      <c r="R208" s="64">
        <v>46724</v>
      </c>
      <c r="S208" s="62" t="s">
        <v>2440</v>
      </c>
      <c r="T208" s="30" t="s">
        <v>2436</v>
      </c>
      <c r="U208" s="24" t="s">
        <v>2436</v>
      </c>
      <c r="V208" s="23" t="s">
        <v>3600</v>
      </c>
      <c r="W208" s="23" t="s">
        <v>1624</v>
      </c>
      <c r="X208" s="23">
        <v>2573</v>
      </c>
      <c r="Y208" s="60">
        <v>95134.754</v>
      </c>
      <c r="Z208" s="60">
        <v>95370.215</v>
      </c>
      <c r="AA208" s="2" t="s">
        <v>3855</v>
      </c>
      <c r="AB208" s="94">
        <v>43718</v>
      </c>
      <c r="AC208" s="136">
        <v>0.6791666666666667</v>
      </c>
      <c r="AD208" s="93"/>
      <c r="AE208" s="93"/>
      <c r="AF208" s="93"/>
      <c r="AG208" s="93"/>
      <c r="AH208" s="93"/>
      <c r="AI208" s="93"/>
      <c r="AJ208" s="93"/>
      <c r="AK208" s="93"/>
      <c r="AL208" s="93"/>
      <c r="AM208" s="93"/>
      <c r="AN208" s="117">
        <f t="shared" si="4"/>
        <v>0</v>
      </c>
      <c r="AO208" s="118">
        <f t="shared" si="5"/>
        <v>0</v>
      </c>
      <c r="AP208" s="66"/>
    </row>
    <row r="209" spans="1:42" ht="90" customHeight="1">
      <c r="A209" s="2">
        <v>173</v>
      </c>
      <c r="B209" s="2">
        <v>180</v>
      </c>
      <c r="C209" s="1" t="s">
        <v>3828</v>
      </c>
      <c r="D209" s="1" t="s">
        <v>6</v>
      </c>
      <c r="E209" s="13">
        <v>3</v>
      </c>
      <c r="F209" s="13" t="s">
        <v>1625</v>
      </c>
      <c r="G209" s="2" t="s">
        <v>1626</v>
      </c>
      <c r="H209" s="2" t="s">
        <v>2502</v>
      </c>
      <c r="I209" s="1" t="s">
        <v>4166</v>
      </c>
      <c r="J209" s="1" t="s">
        <v>4127</v>
      </c>
      <c r="K209" s="63">
        <v>29104391</v>
      </c>
      <c r="L209" s="1" t="s">
        <v>2438</v>
      </c>
      <c r="M209" s="1">
        <v>3447000</v>
      </c>
      <c r="N209" s="1" t="s">
        <v>3735</v>
      </c>
      <c r="O209" s="1" t="s">
        <v>4181</v>
      </c>
      <c r="P209" s="1">
        <v>3428</v>
      </c>
      <c r="Q209" s="64">
        <v>43073</v>
      </c>
      <c r="R209" s="64">
        <v>46724</v>
      </c>
      <c r="S209" s="62" t="s">
        <v>2440</v>
      </c>
      <c r="T209" s="29" t="s">
        <v>2441</v>
      </c>
      <c r="U209" s="2" t="s">
        <v>2444</v>
      </c>
      <c r="V209" s="23" t="s">
        <v>3601</v>
      </c>
      <c r="W209" s="23" t="s">
        <v>3602</v>
      </c>
      <c r="X209" s="23">
        <v>2572</v>
      </c>
      <c r="Y209" s="60">
        <v>95211.26</v>
      </c>
      <c r="Z209" s="60">
        <v>95346.46</v>
      </c>
      <c r="AA209" s="2" t="s">
        <v>4116</v>
      </c>
      <c r="AB209" s="104">
        <v>43713</v>
      </c>
      <c r="AC209" s="82" t="s">
        <v>3791</v>
      </c>
      <c r="AD209" s="2">
        <v>400</v>
      </c>
      <c r="AE209" s="2">
        <v>320</v>
      </c>
      <c r="AF209" s="2">
        <v>7.24</v>
      </c>
      <c r="AG209" s="82">
        <v>24</v>
      </c>
      <c r="AH209" s="43">
        <f>AF209*AD209*AG209*0.0036</f>
        <v>250.21439999999998</v>
      </c>
      <c r="AI209" s="43">
        <f>AF209*AE209*AG209*0.0036</f>
        <v>200.17152000000002</v>
      </c>
      <c r="AJ209" s="2">
        <v>30</v>
      </c>
      <c r="AK209" s="1">
        <v>12</v>
      </c>
      <c r="AL209" s="1">
        <v>0.73</v>
      </c>
      <c r="AM209" s="1">
        <v>0.73</v>
      </c>
      <c r="AN209" s="117">
        <f>AH209*AJ209*AK209*AL209</f>
        <v>65756.34431999999</v>
      </c>
      <c r="AO209" s="118">
        <f>AI209*AJ209*AK209*AM209</f>
        <v>52605.075456000006</v>
      </c>
      <c r="AP209" s="13" t="s">
        <v>2413</v>
      </c>
    </row>
    <row r="210" spans="1:42" ht="25.5">
      <c r="A210" s="2">
        <v>174</v>
      </c>
      <c r="B210" s="2">
        <v>181</v>
      </c>
      <c r="C210" s="1" t="s">
        <v>3828</v>
      </c>
      <c r="D210" s="1" t="s">
        <v>6</v>
      </c>
      <c r="E210" s="13">
        <v>3</v>
      </c>
      <c r="F210" s="13" t="s">
        <v>1627</v>
      </c>
      <c r="G210" s="2" t="s">
        <v>1628</v>
      </c>
      <c r="H210" s="2" t="s">
        <v>2502</v>
      </c>
      <c r="I210" s="1" t="s">
        <v>4166</v>
      </c>
      <c r="J210" s="1" t="s">
        <v>4127</v>
      </c>
      <c r="K210" s="63">
        <v>29104391</v>
      </c>
      <c r="L210" s="1" t="s">
        <v>2438</v>
      </c>
      <c r="M210" s="1">
        <v>3447000</v>
      </c>
      <c r="N210" s="1" t="s">
        <v>3735</v>
      </c>
      <c r="O210" s="1" t="s">
        <v>4181</v>
      </c>
      <c r="P210" s="1">
        <v>3428</v>
      </c>
      <c r="Q210" s="64">
        <v>43073</v>
      </c>
      <c r="R210" s="64">
        <v>46724</v>
      </c>
      <c r="S210" s="62" t="s">
        <v>2440</v>
      </c>
      <c r="T210" s="29" t="s">
        <v>2442</v>
      </c>
      <c r="U210" s="2" t="s">
        <v>2444</v>
      </c>
      <c r="V210" s="23" t="s">
        <v>3603</v>
      </c>
      <c r="W210" s="23" t="s">
        <v>3604</v>
      </c>
      <c r="X210" s="23">
        <v>2571</v>
      </c>
      <c r="Y210" s="60">
        <v>95252.44</v>
      </c>
      <c r="Z210" s="60">
        <v>95234.83</v>
      </c>
      <c r="AA210" s="2" t="s">
        <v>3741</v>
      </c>
      <c r="AB210" s="66"/>
      <c r="AC210" s="66"/>
      <c r="AD210" s="2"/>
      <c r="AE210" s="2"/>
      <c r="AF210" s="2"/>
      <c r="AG210" s="66"/>
      <c r="AH210" s="43"/>
      <c r="AI210" s="43"/>
      <c r="AJ210" s="2"/>
      <c r="AK210" s="1"/>
      <c r="AL210" s="1"/>
      <c r="AM210" s="1"/>
      <c r="AN210" s="44">
        <f t="shared" si="4"/>
        <v>0</v>
      </c>
      <c r="AO210" s="45">
        <f t="shared" si="5"/>
        <v>0</v>
      </c>
      <c r="AP210" s="13" t="s">
        <v>2413</v>
      </c>
    </row>
    <row r="211" spans="1:42" ht="25.5">
      <c r="A211" s="2">
        <v>175</v>
      </c>
      <c r="B211" s="2">
        <v>182</v>
      </c>
      <c r="C211" s="1" t="s">
        <v>3828</v>
      </c>
      <c r="D211" s="1" t="s">
        <v>6</v>
      </c>
      <c r="E211" s="13">
        <v>3</v>
      </c>
      <c r="F211" s="13" t="s">
        <v>1629</v>
      </c>
      <c r="G211" s="2" t="s">
        <v>1628</v>
      </c>
      <c r="H211" s="2" t="s">
        <v>2502</v>
      </c>
      <c r="I211" s="1" t="s">
        <v>4166</v>
      </c>
      <c r="J211" s="1" t="s">
        <v>4127</v>
      </c>
      <c r="K211" s="63">
        <v>29104391</v>
      </c>
      <c r="L211" s="1" t="s">
        <v>2438</v>
      </c>
      <c r="M211" s="1">
        <v>3447000</v>
      </c>
      <c r="N211" s="1" t="s">
        <v>3735</v>
      </c>
      <c r="O211" s="1" t="s">
        <v>4181</v>
      </c>
      <c r="P211" s="1">
        <v>3428</v>
      </c>
      <c r="Q211" s="64">
        <v>43073</v>
      </c>
      <c r="R211" s="64">
        <v>46724</v>
      </c>
      <c r="S211" s="62" t="s">
        <v>2440</v>
      </c>
      <c r="T211" s="29" t="s">
        <v>2442</v>
      </c>
      <c r="U211" s="2" t="s">
        <v>2444</v>
      </c>
      <c r="V211" s="23" t="s">
        <v>3605</v>
      </c>
      <c r="W211" s="23" t="s">
        <v>3606</v>
      </c>
      <c r="X211" s="23">
        <v>2571</v>
      </c>
      <c r="Y211" s="60">
        <v>95253.05</v>
      </c>
      <c r="Z211" s="60">
        <v>95233.6</v>
      </c>
      <c r="AA211" s="2" t="s">
        <v>4046</v>
      </c>
      <c r="AB211" s="66"/>
      <c r="AC211" s="66"/>
      <c r="AD211" s="2"/>
      <c r="AE211" s="2"/>
      <c r="AF211" s="2"/>
      <c r="AG211" s="66"/>
      <c r="AH211" s="43"/>
      <c r="AI211" s="43"/>
      <c r="AJ211" s="2"/>
      <c r="AK211" s="1"/>
      <c r="AL211" s="1"/>
      <c r="AM211" s="1"/>
      <c r="AN211" s="117">
        <f>AVERAGE(AN212:AN213)</f>
        <v>2136.3626879999997</v>
      </c>
      <c r="AO211" s="117">
        <f>AVERAGE(AO212:AO213)</f>
        <v>682.4354457599999</v>
      </c>
      <c r="AP211" s="13" t="s">
        <v>2413</v>
      </c>
    </row>
    <row r="212" spans="1:42" ht="35.25" customHeight="1">
      <c r="A212" s="2"/>
      <c r="B212" s="2"/>
      <c r="C212" s="1"/>
      <c r="D212" s="1"/>
      <c r="E212" s="13"/>
      <c r="F212" s="13"/>
      <c r="G212" s="2"/>
      <c r="H212" s="2"/>
      <c r="I212" s="1"/>
      <c r="J212" s="1"/>
      <c r="K212" s="63"/>
      <c r="L212" s="1"/>
      <c r="M212" s="1"/>
      <c r="N212" s="1"/>
      <c r="O212" s="1"/>
      <c r="P212" s="1"/>
      <c r="Q212" s="64"/>
      <c r="R212" s="64"/>
      <c r="S212" s="62"/>
      <c r="T212" s="29"/>
      <c r="U212" s="2"/>
      <c r="V212" s="23"/>
      <c r="W212" s="23"/>
      <c r="X212" s="23"/>
      <c r="Y212" s="60"/>
      <c r="Z212" s="60"/>
      <c r="AA212" s="2" t="s">
        <v>3753</v>
      </c>
      <c r="AB212" s="67">
        <v>43727</v>
      </c>
      <c r="AC212" s="2" t="s">
        <v>2458</v>
      </c>
      <c r="AD212" s="2">
        <v>86</v>
      </c>
      <c r="AE212" s="2">
        <v>52</v>
      </c>
      <c r="AF212" s="2">
        <v>1.013</v>
      </c>
      <c r="AG212" s="82">
        <v>24</v>
      </c>
      <c r="AH212" s="102">
        <f>AF212*AD212*AG212*0.0036</f>
        <v>7.526995199999999</v>
      </c>
      <c r="AI212" s="102">
        <f>AF212*AE212*AG212*0.0036</f>
        <v>4.5512064</v>
      </c>
      <c r="AJ212" s="2">
        <v>30</v>
      </c>
      <c r="AK212" s="1">
        <v>12</v>
      </c>
      <c r="AL212" s="1">
        <v>0.5</v>
      </c>
      <c r="AM212" s="1">
        <v>0.57</v>
      </c>
      <c r="AN212" s="127">
        <f>AH212*AJ212*AK212*AL212</f>
        <v>1354.8591359999998</v>
      </c>
      <c r="AO212" s="128">
        <f>AI212*AJ212*AK212*AM212</f>
        <v>933.9075532799999</v>
      </c>
      <c r="AP212" s="13"/>
    </row>
    <row r="213" spans="1:42" ht="46.5" customHeight="1">
      <c r="A213" s="2"/>
      <c r="B213" s="2"/>
      <c r="C213" s="1"/>
      <c r="D213" s="1"/>
      <c r="E213" s="13"/>
      <c r="F213" s="13"/>
      <c r="G213" s="2"/>
      <c r="H213" s="2"/>
      <c r="I213" s="1"/>
      <c r="J213" s="1"/>
      <c r="K213" s="63"/>
      <c r="L213" s="1"/>
      <c r="M213" s="1"/>
      <c r="N213" s="1"/>
      <c r="O213" s="1"/>
      <c r="P213" s="1"/>
      <c r="Q213" s="64"/>
      <c r="R213" s="64"/>
      <c r="S213" s="62"/>
      <c r="T213" s="29"/>
      <c r="U213" s="2"/>
      <c r="V213" s="23"/>
      <c r="W213" s="23"/>
      <c r="X213" s="23"/>
      <c r="Y213" s="60"/>
      <c r="Z213" s="60"/>
      <c r="AA213" s="2" t="s">
        <v>4117</v>
      </c>
      <c r="AB213" s="104">
        <v>43713</v>
      </c>
      <c r="AC213" s="82" t="s">
        <v>3856</v>
      </c>
      <c r="AD213" s="2">
        <v>159</v>
      </c>
      <c r="AE213" s="2">
        <v>20.6</v>
      </c>
      <c r="AF213" s="2">
        <v>1.18</v>
      </c>
      <c r="AG213" s="82">
        <v>24</v>
      </c>
      <c r="AH213" s="102">
        <f>AF213*AD213*AG213*0.0036</f>
        <v>16.210367999999995</v>
      </c>
      <c r="AI213" s="102">
        <f>AF213*AE213*AG213*0.0036</f>
        <v>2.1002112</v>
      </c>
      <c r="AJ213" s="2">
        <v>30</v>
      </c>
      <c r="AK213" s="1">
        <v>12</v>
      </c>
      <c r="AL213" s="1">
        <v>0.5</v>
      </c>
      <c r="AM213" s="1">
        <v>0.57</v>
      </c>
      <c r="AN213" s="127">
        <f>AH213*AJ213*AK213*AL213</f>
        <v>2917.8662399999994</v>
      </c>
      <c r="AO213" s="128">
        <f>AI213*AJ213*AK213*AM213</f>
        <v>430.9633382399999</v>
      </c>
      <c r="AP213" s="13"/>
    </row>
    <row r="214" spans="1:42" ht="25.5">
      <c r="A214" s="2">
        <v>176</v>
      </c>
      <c r="B214" s="2">
        <v>183</v>
      </c>
      <c r="C214" s="1" t="s">
        <v>3828</v>
      </c>
      <c r="D214" s="1" t="s">
        <v>6</v>
      </c>
      <c r="E214" s="13">
        <v>3</v>
      </c>
      <c r="F214" s="13" t="s">
        <v>1630</v>
      </c>
      <c r="G214" s="2" t="s">
        <v>1631</v>
      </c>
      <c r="H214" s="2" t="s">
        <v>2502</v>
      </c>
      <c r="I214" s="1" t="s">
        <v>4166</v>
      </c>
      <c r="J214" s="1" t="s">
        <v>4127</v>
      </c>
      <c r="K214" s="63">
        <v>29104391</v>
      </c>
      <c r="L214" s="1" t="s">
        <v>2438</v>
      </c>
      <c r="M214" s="1">
        <v>3447000</v>
      </c>
      <c r="N214" s="1" t="s">
        <v>3735</v>
      </c>
      <c r="O214" s="1" t="s">
        <v>4181</v>
      </c>
      <c r="P214" s="1">
        <v>3428</v>
      </c>
      <c r="Q214" s="64">
        <v>43073</v>
      </c>
      <c r="R214" s="64">
        <v>46724</v>
      </c>
      <c r="S214" s="62" t="s">
        <v>2440</v>
      </c>
      <c r="T214" s="29" t="s">
        <v>2442</v>
      </c>
      <c r="U214" s="2" t="s">
        <v>2444</v>
      </c>
      <c r="V214" s="23" t="s">
        <v>3607</v>
      </c>
      <c r="W214" s="23" t="s">
        <v>3608</v>
      </c>
      <c r="X214" s="23">
        <v>2570</v>
      </c>
      <c r="Y214" s="60">
        <v>95403.01</v>
      </c>
      <c r="Z214" s="60">
        <v>95146.01</v>
      </c>
      <c r="AA214" s="2" t="s">
        <v>3741</v>
      </c>
      <c r="AB214" s="66"/>
      <c r="AC214" s="66"/>
      <c r="AD214" s="2"/>
      <c r="AE214" s="2"/>
      <c r="AF214" s="2"/>
      <c r="AG214" s="66"/>
      <c r="AH214" s="43"/>
      <c r="AI214" s="43"/>
      <c r="AJ214" s="2"/>
      <c r="AK214" s="1"/>
      <c r="AL214" s="1"/>
      <c r="AM214" s="1"/>
      <c r="AN214" s="44">
        <f t="shared" si="4"/>
        <v>0</v>
      </c>
      <c r="AO214" s="45">
        <f t="shared" si="5"/>
        <v>0</v>
      </c>
      <c r="AP214" s="13" t="s">
        <v>2413</v>
      </c>
    </row>
    <row r="215" spans="1:42" ht="25.5">
      <c r="A215" s="2">
        <v>177</v>
      </c>
      <c r="B215" s="2">
        <v>184</v>
      </c>
      <c r="C215" s="1" t="s">
        <v>3828</v>
      </c>
      <c r="D215" s="1" t="s">
        <v>6</v>
      </c>
      <c r="E215" s="13">
        <v>3</v>
      </c>
      <c r="F215" s="13" t="s">
        <v>1632</v>
      </c>
      <c r="G215" s="2" t="s">
        <v>1631</v>
      </c>
      <c r="H215" s="2" t="s">
        <v>2502</v>
      </c>
      <c r="I215" s="1" t="s">
        <v>4166</v>
      </c>
      <c r="J215" s="1" t="s">
        <v>4127</v>
      </c>
      <c r="K215" s="63">
        <v>29104391</v>
      </c>
      <c r="L215" s="1" t="s">
        <v>2438</v>
      </c>
      <c r="M215" s="1">
        <v>3447000</v>
      </c>
      <c r="N215" s="1" t="s">
        <v>3735</v>
      </c>
      <c r="O215" s="1" t="s">
        <v>4181</v>
      </c>
      <c r="P215" s="1">
        <v>3428</v>
      </c>
      <c r="Q215" s="64">
        <v>43073</v>
      </c>
      <c r="R215" s="64">
        <v>46724</v>
      </c>
      <c r="S215" s="62" t="s">
        <v>2440</v>
      </c>
      <c r="T215" s="29" t="s">
        <v>2441</v>
      </c>
      <c r="U215" s="2" t="s">
        <v>2444</v>
      </c>
      <c r="V215" s="23" t="s">
        <v>3609</v>
      </c>
      <c r="W215" s="23" t="s">
        <v>3610</v>
      </c>
      <c r="X215" s="23">
        <v>2570</v>
      </c>
      <c r="Y215" s="60">
        <v>95415.92</v>
      </c>
      <c r="Z215" s="60">
        <v>95172.84</v>
      </c>
      <c r="AA215" s="2" t="s">
        <v>3741</v>
      </c>
      <c r="AB215" s="66"/>
      <c r="AC215" s="66"/>
      <c r="AD215" s="2"/>
      <c r="AE215" s="2"/>
      <c r="AF215" s="2"/>
      <c r="AG215" s="66"/>
      <c r="AH215" s="43"/>
      <c r="AI215" s="43"/>
      <c r="AJ215" s="2"/>
      <c r="AK215" s="1"/>
      <c r="AL215" s="1"/>
      <c r="AM215" s="1"/>
      <c r="AN215" s="44">
        <f t="shared" si="4"/>
        <v>0</v>
      </c>
      <c r="AO215" s="45">
        <f t="shared" si="5"/>
        <v>0</v>
      </c>
      <c r="AP215" s="13" t="s">
        <v>2413</v>
      </c>
    </row>
    <row r="216" spans="1:42" ht="12.75">
      <c r="A216" s="2">
        <v>178</v>
      </c>
      <c r="B216" s="2">
        <v>185</v>
      </c>
      <c r="C216" s="1" t="s">
        <v>3828</v>
      </c>
      <c r="D216" s="1" t="s">
        <v>6</v>
      </c>
      <c r="E216" s="13">
        <v>3</v>
      </c>
      <c r="F216" s="13" t="s">
        <v>1633</v>
      </c>
      <c r="G216" s="2" t="s">
        <v>1631</v>
      </c>
      <c r="H216" s="2" t="s">
        <v>2511</v>
      </c>
      <c r="I216" s="1" t="s">
        <v>4166</v>
      </c>
      <c r="J216" s="1" t="s">
        <v>4127</v>
      </c>
      <c r="K216" s="63">
        <v>29104391</v>
      </c>
      <c r="L216" s="1" t="s">
        <v>2438</v>
      </c>
      <c r="M216" s="1">
        <v>3447000</v>
      </c>
      <c r="N216" s="1" t="s">
        <v>3735</v>
      </c>
      <c r="O216" s="1" t="s">
        <v>4181</v>
      </c>
      <c r="P216" s="1">
        <v>3428</v>
      </c>
      <c r="Q216" s="64">
        <v>43073</v>
      </c>
      <c r="R216" s="64">
        <v>46724</v>
      </c>
      <c r="S216" s="62" t="s">
        <v>2440</v>
      </c>
      <c r="T216" s="29" t="s">
        <v>2441</v>
      </c>
      <c r="U216" s="2" t="s">
        <v>2447</v>
      </c>
      <c r="V216" s="23" t="s">
        <v>3611</v>
      </c>
      <c r="W216" s="23" t="s">
        <v>3612</v>
      </c>
      <c r="X216" s="23">
        <v>2570</v>
      </c>
      <c r="Y216" s="60">
        <v>95418.68</v>
      </c>
      <c r="Z216" s="60">
        <v>95170.99</v>
      </c>
      <c r="AA216" s="2" t="s">
        <v>3741</v>
      </c>
      <c r="AB216" s="66"/>
      <c r="AC216" s="66"/>
      <c r="AD216" s="2"/>
      <c r="AE216" s="2"/>
      <c r="AF216" s="2"/>
      <c r="AG216" s="66"/>
      <c r="AH216" s="43"/>
      <c r="AI216" s="43"/>
      <c r="AJ216" s="2"/>
      <c r="AK216" s="1"/>
      <c r="AL216" s="1"/>
      <c r="AM216" s="1"/>
      <c r="AN216" s="44">
        <f t="shared" si="4"/>
        <v>0</v>
      </c>
      <c r="AO216" s="45">
        <f t="shared" si="5"/>
        <v>0</v>
      </c>
      <c r="AP216" s="13" t="s">
        <v>2413</v>
      </c>
    </row>
    <row r="217" spans="1:42" ht="60" customHeight="1">
      <c r="A217" s="2">
        <v>179</v>
      </c>
      <c r="B217" s="2">
        <v>186</v>
      </c>
      <c r="C217" s="1" t="s">
        <v>3828</v>
      </c>
      <c r="D217" s="1" t="s">
        <v>6</v>
      </c>
      <c r="E217" s="13">
        <v>3</v>
      </c>
      <c r="F217" s="13" t="s">
        <v>1634</v>
      </c>
      <c r="G217" s="2" t="s">
        <v>1635</v>
      </c>
      <c r="H217" s="2" t="s">
        <v>2511</v>
      </c>
      <c r="I217" s="1" t="s">
        <v>4166</v>
      </c>
      <c r="J217" s="1" t="s">
        <v>4127</v>
      </c>
      <c r="K217" s="63">
        <v>29104391</v>
      </c>
      <c r="L217" s="1" t="s">
        <v>2438</v>
      </c>
      <c r="M217" s="1">
        <v>3447000</v>
      </c>
      <c r="N217" s="1" t="s">
        <v>3735</v>
      </c>
      <c r="O217" s="1" t="s">
        <v>4181</v>
      </c>
      <c r="P217" s="1">
        <v>3428</v>
      </c>
      <c r="Q217" s="64">
        <v>43073</v>
      </c>
      <c r="R217" s="64">
        <v>46724</v>
      </c>
      <c r="S217" s="62" t="s">
        <v>2440</v>
      </c>
      <c r="T217" s="29" t="s">
        <v>2441</v>
      </c>
      <c r="U217" s="2" t="s">
        <v>2443</v>
      </c>
      <c r="V217" s="23" t="s">
        <v>3613</v>
      </c>
      <c r="W217" s="23" t="s">
        <v>3614</v>
      </c>
      <c r="X217" s="23">
        <v>2567</v>
      </c>
      <c r="Y217" s="60">
        <v>95603.97</v>
      </c>
      <c r="Z217" s="60">
        <v>94735.56</v>
      </c>
      <c r="AA217" s="2" t="s">
        <v>4118</v>
      </c>
      <c r="AB217" s="104">
        <v>43713</v>
      </c>
      <c r="AC217" s="82" t="s">
        <v>2479</v>
      </c>
      <c r="AD217" s="2">
        <v>211</v>
      </c>
      <c r="AE217" s="2">
        <v>228</v>
      </c>
      <c r="AF217" s="2">
        <v>2.03</v>
      </c>
      <c r="AG217" s="82">
        <v>24</v>
      </c>
      <c r="AH217" s="102">
        <f>AF217*AD217*AG217*0.0036</f>
        <v>37.007712</v>
      </c>
      <c r="AI217" s="102">
        <f>AF217*AE217*AG217*0.0036</f>
        <v>39.989376</v>
      </c>
      <c r="AJ217" s="2">
        <v>30</v>
      </c>
      <c r="AK217" s="1">
        <v>12</v>
      </c>
      <c r="AL217" s="1">
        <v>0.65</v>
      </c>
      <c r="AM217" s="1">
        <v>0.83</v>
      </c>
      <c r="AN217" s="44">
        <f>AH217*AJ217*AK217*AL217</f>
        <v>8659.804608</v>
      </c>
      <c r="AO217" s="45">
        <f>AI217*AJ217*AK217*AM217</f>
        <v>11948.8255488</v>
      </c>
      <c r="AP217" s="13" t="s">
        <v>2457</v>
      </c>
    </row>
    <row r="218" spans="1:42" ht="39.75" customHeight="1">
      <c r="A218" s="2">
        <v>180</v>
      </c>
      <c r="B218" s="2">
        <v>187</v>
      </c>
      <c r="C218" s="1" t="s">
        <v>3828</v>
      </c>
      <c r="D218" s="1" t="s">
        <v>6</v>
      </c>
      <c r="E218" s="13">
        <v>3</v>
      </c>
      <c r="F218" s="13" t="s">
        <v>1636</v>
      </c>
      <c r="G218" s="2" t="s">
        <v>1637</v>
      </c>
      <c r="H218" s="2" t="s">
        <v>2511</v>
      </c>
      <c r="I218" s="1" t="s">
        <v>4166</v>
      </c>
      <c r="J218" s="1" t="s">
        <v>4127</v>
      </c>
      <c r="K218" s="63">
        <v>29104391</v>
      </c>
      <c r="L218" s="1" t="s">
        <v>2438</v>
      </c>
      <c r="M218" s="1">
        <v>3447000</v>
      </c>
      <c r="N218" s="1" t="s">
        <v>3735</v>
      </c>
      <c r="O218" s="1" t="s">
        <v>4181</v>
      </c>
      <c r="P218" s="1">
        <v>3428</v>
      </c>
      <c r="Q218" s="64">
        <v>43073</v>
      </c>
      <c r="R218" s="64">
        <v>46724</v>
      </c>
      <c r="S218" s="62" t="s">
        <v>2440</v>
      </c>
      <c r="T218" s="29" t="s">
        <v>2441</v>
      </c>
      <c r="U218" s="2" t="s">
        <v>2444</v>
      </c>
      <c r="V218" s="23" t="s">
        <v>3615</v>
      </c>
      <c r="W218" s="23" t="s">
        <v>3616</v>
      </c>
      <c r="X218" s="23">
        <v>2569</v>
      </c>
      <c r="Y218" s="60">
        <v>95706.29</v>
      </c>
      <c r="Z218" s="60">
        <v>94704.41</v>
      </c>
      <c r="AA218" s="2" t="s">
        <v>4046</v>
      </c>
      <c r="AB218" s="66"/>
      <c r="AC218" s="66"/>
      <c r="AD218" s="2"/>
      <c r="AE218" s="2"/>
      <c r="AF218" s="2"/>
      <c r="AG218" s="2"/>
      <c r="AH218" s="43"/>
      <c r="AI218" s="43"/>
      <c r="AJ218" s="2"/>
      <c r="AK218" s="1"/>
      <c r="AL218" s="1"/>
      <c r="AM218" s="1"/>
      <c r="AN218" s="117">
        <f>AVERAGE(AN219:AN220)</f>
        <v>231380.844192</v>
      </c>
      <c r="AO218" s="117">
        <f>AVERAGE(AO219:AO220)</f>
        <v>152119.86686208</v>
      </c>
      <c r="AP218" s="13" t="s">
        <v>2495</v>
      </c>
    </row>
    <row r="219" spans="1:42" ht="37.5" customHeight="1">
      <c r="A219" s="2"/>
      <c r="B219" s="2"/>
      <c r="C219" s="1"/>
      <c r="D219" s="1"/>
      <c r="E219" s="13"/>
      <c r="F219" s="13"/>
      <c r="G219" s="2"/>
      <c r="H219" s="2"/>
      <c r="I219" s="1"/>
      <c r="J219" s="1"/>
      <c r="K219" s="63"/>
      <c r="L219" s="1"/>
      <c r="M219" s="1"/>
      <c r="N219" s="1"/>
      <c r="O219" s="1"/>
      <c r="P219" s="1"/>
      <c r="Q219" s="64"/>
      <c r="R219" s="64"/>
      <c r="S219" s="62"/>
      <c r="T219" s="29"/>
      <c r="U219" s="2"/>
      <c r="V219" s="23"/>
      <c r="W219" s="23"/>
      <c r="X219" s="23"/>
      <c r="Y219" s="60"/>
      <c r="Z219" s="60"/>
      <c r="AA219" s="2" t="s">
        <v>3753</v>
      </c>
      <c r="AB219" s="67">
        <v>43728</v>
      </c>
      <c r="AC219" s="2" t="s">
        <v>3754</v>
      </c>
      <c r="AD219" s="2">
        <v>333</v>
      </c>
      <c r="AE219" s="2">
        <v>376</v>
      </c>
      <c r="AF219" s="2">
        <v>8.227</v>
      </c>
      <c r="AG219" s="82">
        <v>24</v>
      </c>
      <c r="AH219" s="102">
        <f>AF219*AD219*AG219*0.0036</f>
        <v>236.70066239999997</v>
      </c>
      <c r="AI219" s="102">
        <f>AF219*AE219*AG219*0.0036</f>
        <v>267.2656128</v>
      </c>
      <c r="AJ219" s="2">
        <v>30</v>
      </c>
      <c r="AK219" s="1">
        <v>12</v>
      </c>
      <c r="AL219" s="1">
        <v>0.9</v>
      </c>
      <c r="AM219" s="1">
        <v>0.77</v>
      </c>
      <c r="AN219" s="127">
        <f>AH219*AJ219*AK219*AL219</f>
        <v>76691.0146176</v>
      </c>
      <c r="AO219" s="128">
        <f>AI219*AJ219*AK219*AM219</f>
        <v>74086.02786816</v>
      </c>
      <c r="AP219" s="13"/>
    </row>
    <row r="220" spans="1:42" ht="44.25" customHeight="1">
      <c r="A220" s="2"/>
      <c r="B220" s="2"/>
      <c r="C220" s="1"/>
      <c r="D220" s="1"/>
      <c r="E220" s="13"/>
      <c r="F220" s="13"/>
      <c r="G220" s="2"/>
      <c r="H220" s="2"/>
      <c r="I220" s="1"/>
      <c r="J220" s="1"/>
      <c r="K220" s="63"/>
      <c r="L220" s="1"/>
      <c r="M220" s="1"/>
      <c r="N220" s="1"/>
      <c r="O220" s="1"/>
      <c r="P220" s="1"/>
      <c r="Q220" s="64"/>
      <c r="R220" s="64"/>
      <c r="S220" s="62"/>
      <c r="T220" s="29"/>
      <c r="U220" s="2"/>
      <c r="V220" s="23"/>
      <c r="W220" s="23"/>
      <c r="X220" s="23"/>
      <c r="Y220" s="60"/>
      <c r="Z220" s="60"/>
      <c r="AA220" s="2" t="s">
        <v>4119</v>
      </c>
      <c r="AB220" s="104">
        <v>43721</v>
      </c>
      <c r="AC220" s="82" t="s">
        <v>3857</v>
      </c>
      <c r="AD220" s="2">
        <v>498</v>
      </c>
      <c r="AE220" s="2">
        <v>265</v>
      </c>
      <c r="AF220" s="2">
        <v>18.74</v>
      </c>
      <c r="AG220" s="82">
        <v>24</v>
      </c>
      <c r="AH220" s="102">
        <f>AF220*AD220*AG220*0.0036</f>
        <v>806.3297279999999</v>
      </c>
      <c r="AI220" s="102">
        <f>AF220*AE220*AG220*0.0036</f>
        <v>429.07104</v>
      </c>
      <c r="AJ220" s="2">
        <v>30</v>
      </c>
      <c r="AK220" s="1">
        <v>12</v>
      </c>
      <c r="AL220" s="1">
        <v>1.33</v>
      </c>
      <c r="AM220" s="1">
        <v>1.49</v>
      </c>
      <c r="AN220" s="127">
        <f>AH220*AJ220*AK220*AL220</f>
        <v>386070.67376639997</v>
      </c>
      <c r="AO220" s="128">
        <f>AI220*AJ220*AK220*AM220</f>
        <v>230153.705856</v>
      </c>
      <c r="AP220" s="13"/>
    </row>
    <row r="221" spans="1:42" ht="12.75">
      <c r="A221" s="2">
        <v>181</v>
      </c>
      <c r="B221" s="2">
        <v>188</v>
      </c>
      <c r="C221" s="1" t="s">
        <v>3828</v>
      </c>
      <c r="D221" s="1" t="s">
        <v>6</v>
      </c>
      <c r="E221" s="13">
        <v>3</v>
      </c>
      <c r="F221" s="13" t="s">
        <v>1638</v>
      </c>
      <c r="G221" s="2" t="s">
        <v>1639</v>
      </c>
      <c r="H221" s="2" t="s">
        <v>2511</v>
      </c>
      <c r="I221" s="1" t="s">
        <v>4166</v>
      </c>
      <c r="J221" s="1" t="s">
        <v>4127</v>
      </c>
      <c r="K221" s="63">
        <v>29104391</v>
      </c>
      <c r="L221" s="1" t="s">
        <v>2438</v>
      </c>
      <c r="M221" s="1">
        <v>3447000</v>
      </c>
      <c r="N221" s="1" t="s">
        <v>3735</v>
      </c>
      <c r="O221" s="1" t="s">
        <v>4181</v>
      </c>
      <c r="P221" s="1">
        <v>3428</v>
      </c>
      <c r="Q221" s="64">
        <v>43073</v>
      </c>
      <c r="R221" s="64">
        <v>46724</v>
      </c>
      <c r="S221" s="62" t="s">
        <v>2440</v>
      </c>
      <c r="T221" s="29" t="s">
        <v>2441</v>
      </c>
      <c r="U221" s="2" t="s">
        <v>2447</v>
      </c>
      <c r="V221" s="23" t="s">
        <v>3617</v>
      </c>
      <c r="W221" s="23" t="s">
        <v>3618</v>
      </c>
      <c r="X221" s="23">
        <v>2565</v>
      </c>
      <c r="Y221" s="60">
        <v>96007.11</v>
      </c>
      <c r="Z221" s="60">
        <v>93869.64</v>
      </c>
      <c r="AA221" s="2" t="s">
        <v>3741</v>
      </c>
      <c r="AB221" s="66"/>
      <c r="AC221" s="66"/>
      <c r="AD221" s="2"/>
      <c r="AE221" s="2"/>
      <c r="AF221" s="2"/>
      <c r="AG221" s="66"/>
      <c r="AH221" s="43"/>
      <c r="AI221" s="43"/>
      <c r="AJ221" s="2"/>
      <c r="AK221" s="1"/>
      <c r="AL221" s="1"/>
      <c r="AM221" s="1"/>
      <c r="AN221" s="44">
        <f t="shared" si="4"/>
        <v>0</v>
      </c>
      <c r="AO221" s="45">
        <f t="shared" si="5"/>
        <v>0</v>
      </c>
      <c r="AP221" s="13" t="s">
        <v>2457</v>
      </c>
    </row>
    <row r="222" spans="1:42" ht="12.75">
      <c r="A222" s="2"/>
      <c r="B222" s="226" t="s">
        <v>2515</v>
      </c>
      <c r="C222" s="226"/>
      <c r="D222" s="22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119">
        <f>AN142+AN143+AN144+AN147+AN148+AN149+AN150+AN151+AN156+AN158+AN159+AN160+AN162+AN165+AN166+AN170+AN171+AN173+AN174+AN175+AN176+AN177+AN178+AN181+AN183+AN191+AN192+AN193+AN194+AN204+AN205+AN206+AN207+AN208+AN209+AN211+AN218</f>
        <v>1190911.8031171546</v>
      </c>
      <c r="AO222" s="119">
        <f>AO142+AO143+AO144+AO147+AO148+AO149+AO150+AO151+AO156+AO158+AO159+AO160+AO162+AO165+AO166+AO170+AO171+AO173+AO174+AO175+AO176+AO177+AO178+AO181+AO183+AO191+AO192+AO193+AO194+AO204+AO205+AO206+AO207+AO208+AO209+AO211+AO218</f>
        <v>975076.4473277596</v>
      </c>
      <c r="AP222" s="66"/>
    </row>
    <row r="223" spans="1:42" ht="12.75">
      <c r="A223" s="2"/>
      <c r="B223" s="227" t="s">
        <v>2552</v>
      </c>
      <c r="C223" s="227"/>
      <c r="D223" s="227"/>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c r="AK223" s="227"/>
      <c r="AL223" s="227"/>
      <c r="AM223" s="227"/>
      <c r="AN223" s="73">
        <f>SUM(AN142:AN221)-AN167-AN168-AN179-AN180-AN212-AN213-AN219-AN220</f>
        <v>1617588.3134275547</v>
      </c>
      <c r="AO223" s="73">
        <f>SUM(AO142:AO221)-AO167-AO168-AO179-AO180-AO212-AO213-AO219-AO220</f>
        <v>1683325.0404797595</v>
      </c>
      <c r="AP223" s="66"/>
    </row>
    <row r="224" spans="1:42" ht="57" customHeight="1">
      <c r="A224" s="2">
        <v>182</v>
      </c>
      <c r="B224" s="2">
        <v>189</v>
      </c>
      <c r="C224" s="1" t="s">
        <v>80</v>
      </c>
      <c r="D224" s="1" t="s">
        <v>6</v>
      </c>
      <c r="E224" s="13">
        <v>3</v>
      </c>
      <c r="F224" s="1" t="s">
        <v>3858</v>
      </c>
      <c r="G224" s="2" t="s">
        <v>1720</v>
      </c>
      <c r="H224" s="2" t="s">
        <v>2486</v>
      </c>
      <c r="I224" s="1" t="s">
        <v>4166</v>
      </c>
      <c r="J224" s="1" t="s">
        <v>4127</v>
      </c>
      <c r="K224" s="63">
        <v>29104391</v>
      </c>
      <c r="L224" s="1" t="s">
        <v>2438</v>
      </c>
      <c r="M224" s="1">
        <v>3447000</v>
      </c>
      <c r="N224" s="1" t="s">
        <v>3735</v>
      </c>
      <c r="O224" s="1" t="s">
        <v>4181</v>
      </c>
      <c r="P224" s="1">
        <v>3428</v>
      </c>
      <c r="Q224" s="64">
        <v>43073</v>
      </c>
      <c r="R224" s="64">
        <v>46724</v>
      </c>
      <c r="S224" s="62" t="s">
        <v>2440</v>
      </c>
      <c r="T224" s="29" t="s">
        <v>2441</v>
      </c>
      <c r="U224" s="9" t="s">
        <v>2443</v>
      </c>
      <c r="V224" s="23" t="s">
        <v>3619</v>
      </c>
      <c r="W224" s="23" t="s">
        <v>1721</v>
      </c>
      <c r="X224" s="23">
        <v>2947</v>
      </c>
      <c r="Y224" s="60">
        <v>92360.04</v>
      </c>
      <c r="Z224" s="60">
        <v>98272.22</v>
      </c>
      <c r="AA224" s="2" t="s">
        <v>3861</v>
      </c>
      <c r="AB224" s="66"/>
      <c r="AC224" s="66"/>
      <c r="AD224" s="2"/>
      <c r="AE224" s="2"/>
      <c r="AF224" s="2"/>
      <c r="AG224" s="66"/>
      <c r="AH224" s="43"/>
      <c r="AI224" s="43"/>
      <c r="AJ224" s="2"/>
      <c r="AK224" s="1"/>
      <c r="AL224" s="1"/>
      <c r="AM224" s="1"/>
      <c r="AN224" s="117">
        <v>63248.587118585514</v>
      </c>
      <c r="AO224" s="117">
        <v>63012.470003008275</v>
      </c>
      <c r="AP224" s="2" t="s">
        <v>2405</v>
      </c>
    </row>
    <row r="225" spans="1:42" ht="48.75" customHeight="1">
      <c r="A225" s="2">
        <v>183</v>
      </c>
      <c r="B225" s="2">
        <v>190</v>
      </c>
      <c r="C225" s="1" t="s">
        <v>80</v>
      </c>
      <c r="D225" s="1" t="s">
        <v>6</v>
      </c>
      <c r="E225" s="13">
        <v>3</v>
      </c>
      <c r="F225" s="1" t="s">
        <v>3859</v>
      </c>
      <c r="G225" s="2" t="s">
        <v>1722</v>
      </c>
      <c r="H225" s="2" t="s">
        <v>2486</v>
      </c>
      <c r="I225" s="1" t="s">
        <v>4166</v>
      </c>
      <c r="J225" s="1" t="s">
        <v>4127</v>
      </c>
      <c r="K225" s="63">
        <v>29104391</v>
      </c>
      <c r="L225" s="1" t="s">
        <v>2438</v>
      </c>
      <c r="M225" s="1">
        <v>3447000</v>
      </c>
      <c r="N225" s="1" t="s">
        <v>3735</v>
      </c>
      <c r="O225" s="1" t="s">
        <v>4181</v>
      </c>
      <c r="P225" s="1">
        <v>3428</v>
      </c>
      <c r="Q225" s="64">
        <v>43073</v>
      </c>
      <c r="R225" s="64">
        <v>46724</v>
      </c>
      <c r="S225" s="62" t="s">
        <v>2440</v>
      </c>
      <c r="T225" s="29" t="s">
        <v>2442</v>
      </c>
      <c r="U225" s="9" t="s">
        <v>2443</v>
      </c>
      <c r="V225" s="23" t="s">
        <v>3620</v>
      </c>
      <c r="W225" s="23" t="s">
        <v>1723</v>
      </c>
      <c r="X225" s="23">
        <v>2937</v>
      </c>
      <c r="Y225" s="60">
        <v>92443.01</v>
      </c>
      <c r="Z225" s="60">
        <v>98188.95</v>
      </c>
      <c r="AA225" s="2" t="s">
        <v>3861</v>
      </c>
      <c r="AB225" s="94"/>
      <c r="AC225" s="20"/>
      <c r="AD225" s="2"/>
      <c r="AE225" s="2"/>
      <c r="AF225" s="2"/>
      <c r="AG225" s="69"/>
      <c r="AH225" s="43"/>
      <c r="AI225" s="43"/>
      <c r="AJ225" s="2"/>
      <c r="AK225" s="1"/>
      <c r="AL225" s="1"/>
      <c r="AM225" s="1"/>
      <c r="AN225" s="117">
        <v>728.8836208933276</v>
      </c>
      <c r="AO225" s="118">
        <v>1774.4512286356849</v>
      </c>
      <c r="AP225" s="2" t="s">
        <v>2405</v>
      </c>
    </row>
    <row r="226" spans="1:42" ht="12.75">
      <c r="A226" s="2">
        <v>184</v>
      </c>
      <c r="B226" s="2">
        <v>191</v>
      </c>
      <c r="C226" s="1" t="s">
        <v>80</v>
      </c>
      <c r="D226" s="1" t="s">
        <v>6</v>
      </c>
      <c r="E226" s="1">
        <v>3</v>
      </c>
      <c r="F226" s="1" t="s">
        <v>3862</v>
      </c>
      <c r="G226" s="1" t="s">
        <v>1724</v>
      </c>
      <c r="H226" s="2" t="s">
        <v>2486</v>
      </c>
      <c r="I226" s="1" t="s">
        <v>4166</v>
      </c>
      <c r="J226" s="1" t="s">
        <v>4127</v>
      </c>
      <c r="K226" s="63">
        <v>29104391</v>
      </c>
      <c r="L226" s="1" t="s">
        <v>2438</v>
      </c>
      <c r="M226" s="1">
        <v>3447000</v>
      </c>
      <c r="N226" s="1" t="s">
        <v>3735</v>
      </c>
      <c r="O226" s="1" t="s">
        <v>4181</v>
      </c>
      <c r="P226" s="1">
        <v>3428</v>
      </c>
      <c r="Q226" s="64">
        <v>43073</v>
      </c>
      <c r="R226" s="64">
        <v>46724</v>
      </c>
      <c r="S226" s="62" t="s">
        <v>2440</v>
      </c>
      <c r="T226" s="29" t="s">
        <v>2442</v>
      </c>
      <c r="U226" s="9" t="s">
        <v>2443</v>
      </c>
      <c r="V226" s="1" t="s">
        <v>3621</v>
      </c>
      <c r="W226" s="1" t="s">
        <v>3622</v>
      </c>
      <c r="X226" s="1">
        <v>2751</v>
      </c>
      <c r="Y226" s="60">
        <v>93801.22</v>
      </c>
      <c r="Z226" s="60">
        <v>97795.36</v>
      </c>
      <c r="AA226" s="2" t="s">
        <v>3741</v>
      </c>
      <c r="AB226" s="66"/>
      <c r="AC226" s="66"/>
      <c r="AD226" s="2"/>
      <c r="AE226" s="2"/>
      <c r="AF226" s="2"/>
      <c r="AG226" s="66"/>
      <c r="AH226" s="43"/>
      <c r="AI226" s="43"/>
      <c r="AJ226" s="2"/>
      <c r="AK226" s="1"/>
      <c r="AL226" s="1"/>
      <c r="AM226" s="1"/>
      <c r="AN226" s="44">
        <f t="shared" si="4"/>
        <v>0</v>
      </c>
      <c r="AO226" s="45">
        <f t="shared" si="5"/>
        <v>0</v>
      </c>
      <c r="AP226" s="13" t="s">
        <v>2413</v>
      </c>
    </row>
    <row r="227" spans="1:42" ht="12.75">
      <c r="A227" s="2">
        <v>185</v>
      </c>
      <c r="B227" s="2">
        <v>192</v>
      </c>
      <c r="C227" s="1" t="s">
        <v>80</v>
      </c>
      <c r="D227" s="1" t="s">
        <v>6</v>
      </c>
      <c r="E227" s="1">
        <v>3</v>
      </c>
      <c r="F227" s="1" t="s">
        <v>3863</v>
      </c>
      <c r="G227" s="1" t="s">
        <v>1725</v>
      </c>
      <c r="H227" s="2" t="s">
        <v>2486</v>
      </c>
      <c r="I227" s="1" t="s">
        <v>4166</v>
      </c>
      <c r="J227" s="1" t="s">
        <v>4127</v>
      </c>
      <c r="K227" s="63">
        <v>29104391</v>
      </c>
      <c r="L227" s="1" t="s">
        <v>2438</v>
      </c>
      <c r="M227" s="1">
        <v>3447000</v>
      </c>
      <c r="N227" s="1" t="s">
        <v>3735</v>
      </c>
      <c r="O227" s="1" t="s">
        <v>4181</v>
      </c>
      <c r="P227" s="1">
        <v>3428</v>
      </c>
      <c r="Q227" s="64">
        <v>43073</v>
      </c>
      <c r="R227" s="64">
        <v>46724</v>
      </c>
      <c r="S227" s="62" t="s">
        <v>2440</v>
      </c>
      <c r="T227" s="29" t="s">
        <v>2442</v>
      </c>
      <c r="U227" s="9" t="s">
        <v>2443</v>
      </c>
      <c r="V227" s="1" t="s">
        <v>3623</v>
      </c>
      <c r="W227" s="1" t="s">
        <v>3624</v>
      </c>
      <c r="X227" s="1">
        <v>2735</v>
      </c>
      <c r="Y227" s="60">
        <v>93919.53</v>
      </c>
      <c r="Z227" s="60">
        <v>97744.16</v>
      </c>
      <c r="AA227" s="2" t="s">
        <v>3741</v>
      </c>
      <c r="AB227" s="66"/>
      <c r="AC227" s="66"/>
      <c r="AD227" s="2"/>
      <c r="AE227" s="2"/>
      <c r="AF227" s="2"/>
      <c r="AG227" s="66"/>
      <c r="AH227" s="43"/>
      <c r="AI227" s="43"/>
      <c r="AJ227" s="2"/>
      <c r="AK227" s="1"/>
      <c r="AL227" s="1"/>
      <c r="AM227" s="1"/>
      <c r="AN227" s="44">
        <f t="shared" si="4"/>
        <v>0</v>
      </c>
      <c r="AO227" s="45">
        <f t="shared" si="5"/>
        <v>0</v>
      </c>
      <c r="AP227" s="13" t="s">
        <v>2413</v>
      </c>
    </row>
    <row r="228" spans="1:42" ht="52.5" customHeight="1">
      <c r="A228" s="2">
        <v>186</v>
      </c>
      <c r="B228" s="2">
        <v>193</v>
      </c>
      <c r="C228" s="1" t="s">
        <v>80</v>
      </c>
      <c r="D228" s="1" t="s">
        <v>6</v>
      </c>
      <c r="E228" s="13">
        <v>3</v>
      </c>
      <c r="F228" s="1" t="s">
        <v>3860</v>
      </c>
      <c r="G228" s="2" t="s">
        <v>1726</v>
      </c>
      <c r="H228" s="2" t="s">
        <v>2486</v>
      </c>
      <c r="I228" s="1" t="s">
        <v>4166</v>
      </c>
      <c r="J228" s="1" t="s">
        <v>4127</v>
      </c>
      <c r="K228" s="63">
        <v>29104391</v>
      </c>
      <c r="L228" s="1" t="s">
        <v>2438</v>
      </c>
      <c r="M228" s="1">
        <v>3447000</v>
      </c>
      <c r="N228" s="1" t="s">
        <v>3735</v>
      </c>
      <c r="O228" s="1" t="s">
        <v>4181</v>
      </c>
      <c r="P228" s="1">
        <v>3428</v>
      </c>
      <c r="Q228" s="64">
        <v>43073</v>
      </c>
      <c r="R228" s="64">
        <v>46724</v>
      </c>
      <c r="S228" s="62" t="s">
        <v>2440</v>
      </c>
      <c r="T228" s="29" t="s">
        <v>2441</v>
      </c>
      <c r="U228" s="9" t="s">
        <v>2443</v>
      </c>
      <c r="V228" s="23" t="s">
        <v>3625</v>
      </c>
      <c r="W228" s="23" t="s">
        <v>1727</v>
      </c>
      <c r="X228" s="1">
        <v>2736</v>
      </c>
      <c r="Y228" s="60">
        <v>93945.65</v>
      </c>
      <c r="Z228" s="60">
        <v>97772.53</v>
      </c>
      <c r="AA228" s="2" t="s">
        <v>4042</v>
      </c>
      <c r="AB228" s="94">
        <v>43333</v>
      </c>
      <c r="AC228" s="50">
        <v>0.4930555555555556</v>
      </c>
      <c r="AD228" s="93"/>
      <c r="AE228" s="93"/>
      <c r="AF228" s="93"/>
      <c r="AG228" s="93"/>
      <c r="AH228" s="93"/>
      <c r="AI228" s="93"/>
      <c r="AJ228" s="93"/>
      <c r="AK228" s="93"/>
      <c r="AL228" s="93"/>
      <c r="AM228" s="93"/>
      <c r="AN228" s="117">
        <v>748.5553529809324</v>
      </c>
      <c r="AO228" s="118">
        <v>606.8665520957529</v>
      </c>
      <c r="AP228" s="2" t="s">
        <v>2413</v>
      </c>
    </row>
    <row r="229" spans="1:42" ht="12.75">
      <c r="A229" s="2">
        <v>187</v>
      </c>
      <c r="B229" s="2">
        <v>194</v>
      </c>
      <c r="C229" s="1" t="s">
        <v>80</v>
      </c>
      <c r="D229" s="1" t="s">
        <v>6</v>
      </c>
      <c r="E229" s="1">
        <v>3</v>
      </c>
      <c r="F229" s="1" t="s">
        <v>3864</v>
      </c>
      <c r="G229" s="1" t="s">
        <v>1728</v>
      </c>
      <c r="H229" s="2" t="s">
        <v>2486</v>
      </c>
      <c r="I229" s="1" t="s">
        <v>4166</v>
      </c>
      <c r="J229" s="1" t="s">
        <v>4127</v>
      </c>
      <c r="K229" s="63">
        <v>29104391</v>
      </c>
      <c r="L229" s="1" t="s">
        <v>2438</v>
      </c>
      <c r="M229" s="1">
        <v>3447000</v>
      </c>
      <c r="N229" s="1" t="s">
        <v>3735</v>
      </c>
      <c r="O229" s="1" t="s">
        <v>4181</v>
      </c>
      <c r="P229" s="1">
        <v>3428</v>
      </c>
      <c r="Q229" s="64">
        <v>43073</v>
      </c>
      <c r="R229" s="64">
        <v>46724</v>
      </c>
      <c r="S229" s="62" t="s">
        <v>2440</v>
      </c>
      <c r="T229" s="29" t="s">
        <v>2442</v>
      </c>
      <c r="U229" s="9" t="s">
        <v>2443</v>
      </c>
      <c r="V229" s="1" t="s">
        <v>3626</v>
      </c>
      <c r="W229" s="1" t="s">
        <v>3627</v>
      </c>
      <c r="X229" s="1">
        <v>2731</v>
      </c>
      <c r="Y229" s="60">
        <v>93950.87</v>
      </c>
      <c r="Z229" s="60">
        <v>97743.85</v>
      </c>
      <c r="AA229" s="2" t="s">
        <v>3741</v>
      </c>
      <c r="AB229" s="66"/>
      <c r="AC229" s="66"/>
      <c r="AD229" s="2"/>
      <c r="AE229" s="2"/>
      <c r="AF229" s="2"/>
      <c r="AG229" s="66"/>
      <c r="AH229" s="43"/>
      <c r="AI229" s="43"/>
      <c r="AJ229" s="2"/>
      <c r="AK229" s="1"/>
      <c r="AL229" s="1"/>
      <c r="AM229" s="1"/>
      <c r="AN229" s="44">
        <f t="shared" si="4"/>
        <v>0</v>
      </c>
      <c r="AO229" s="45">
        <f t="shared" si="5"/>
        <v>0</v>
      </c>
      <c r="AP229" s="13" t="s">
        <v>2413</v>
      </c>
    </row>
    <row r="230" spans="1:42" ht="25.5">
      <c r="A230" s="2">
        <v>188</v>
      </c>
      <c r="B230" s="2">
        <v>195</v>
      </c>
      <c r="C230" s="1" t="s">
        <v>1729</v>
      </c>
      <c r="D230" s="1" t="s">
        <v>6</v>
      </c>
      <c r="E230" s="1">
        <v>3</v>
      </c>
      <c r="F230" s="1" t="s">
        <v>1730</v>
      </c>
      <c r="G230" s="1" t="s">
        <v>1731</v>
      </c>
      <c r="H230" s="2" t="s">
        <v>2486</v>
      </c>
      <c r="I230" s="1" t="s">
        <v>4166</v>
      </c>
      <c r="J230" s="1" t="s">
        <v>4127</v>
      </c>
      <c r="K230" s="63">
        <v>29104391</v>
      </c>
      <c r="L230" s="1" t="s">
        <v>2438</v>
      </c>
      <c r="M230" s="1">
        <v>3447000</v>
      </c>
      <c r="N230" s="1" t="s">
        <v>3735</v>
      </c>
      <c r="O230" s="1" t="s">
        <v>4181</v>
      </c>
      <c r="P230" s="1">
        <v>3428</v>
      </c>
      <c r="Q230" s="64">
        <v>43073</v>
      </c>
      <c r="R230" s="64">
        <v>46724</v>
      </c>
      <c r="S230" s="62" t="s">
        <v>2440</v>
      </c>
      <c r="T230" s="30" t="s">
        <v>2436</v>
      </c>
      <c r="U230" s="9" t="s">
        <v>2480</v>
      </c>
      <c r="V230" s="1" t="s">
        <v>3628</v>
      </c>
      <c r="W230" s="1" t="s">
        <v>1732</v>
      </c>
      <c r="X230" s="1">
        <v>3026</v>
      </c>
      <c r="Y230" s="60">
        <v>92262.691</v>
      </c>
      <c r="Z230" s="60">
        <v>98972.273</v>
      </c>
      <c r="AA230" s="2" t="s">
        <v>3741</v>
      </c>
      <c r="AB230" s="66"/>
      <c r="AC230" s="66"/>
      <c r="AD230" s="2"/>
      <c r="AE230" s="2"/>
      <c r="AF230" s="2"/>
      <c r="AG230" s="66"/>
      <c r="AH230" s="43"/>
      <c r="AI230" s="43"/>
      <c r="AJ230" s="2"/>
      <c r="AK230" s="1"/>
      <c r="AL230" s="1"/>
      <c r="AM230" s="1"/>
      <c r="AN230" s="44">
        <f t="shared" si="4"/>
        <v>0</v>
      </c>
      <c r="AO230" s="45">
        <f t="shared" si="5"/>
        <v>0</v>
      </c>
      <c r="AP230" s="66"/>
    </row>
    <row r="231" spans="1:42" ht="25.5">
      <c r="A231" s="2">
        <v>189</v>
      </c>
      <c r="B231" s="2">
        <v>196</v>
      </c>
      <c r="C231" s="1" t="s">
        <v>1729</v>
      </c>
      <c r="D231" s="1" t="s">
        <v>6</v>
      </c>
      <c r="E231" s="1">
        <v>3</v>
      </c>
      <c r="F231" s="1" t="s">
        <v>1733</v>
      </c>
      <c r="G231" s="1" t="s">
        <v>1734</v>
      </c>
      <c r="H231" s="2" t="s">
        <v>2486</v>
      </c>
      <c r="I231" s="1" t="s">
        <v>4166</v>
      </c>
      <c r="J231" s="1" t="s">
        <v>4127</v>
      </c>
      <c r="K231" s="63">
        <v>29104391</v>
      </c>
      <c r="L231" s="1" t="s">
        <v>2438</v>
      </c>
      <c r="M231" s="1">
        <v>3447000</v>
      </c>
      <c r="N231" s="1" t="s">
        <v>3735</v>
      </c>
      <c r="O231" s="1" t="s">
        <v>4181</v>
      </c>
      <c r="P231" s="1">
        <v>3428</v>
      </c>
      <c r="Q231" s="64">
        <v>43073</v>
      </c>
      <c r="R231" s="64">
        <v>46724</v>
      </c>
      <c r="S231" s="62" t="s">
        <v>2440</v>
      </c>
      <c r="T231" s="29" t="s">
        <v>2441</v>
      </c>
      <c r="U231" s="9" t="s">
        <v>2480</v>
      </c>
      <c r="V231" s="1" t="s">
        <v>3629</v>
      </c>
      <c r="W231" s="1" t="s">
        <v>1735</v>
      </c>
      <c r="X231" s="1">
        <v>3028</v>
      </c>
      <c r="Y231" s="60">
        <v>92261.771</v>
      </c>
      <c r="Z231" s="60">
        <v>98992.935</v>
      </c>
      <c r="AA231" s="2" t="s">
        <v>3741</v>
      </c>
      <c r="AB231" s="66"/>
      <c r="AC231" s="66"/>
      <c r="AD231" s="2"/>
      <c r="AE231" s="2"/>
      <c r="AF231" s="2"/>
      <c r="AG231" s="66"/>
      <c r="AH231" s="43"/>
      <c r="AI231" s="43"/>
      <c r="AJ231" s="2"/>
      <c r="AK231" s="1"/>
      <c r="AL231" s="1"/>
      <c r="AM231" s="1"/>
      <c r="AN231" s="44">
        <f t="shared" si="4"/>
        <v>0</v>
      </c>
      <c r="AO231" s="45">
        <f t="shared" si="5"/>
        <v>0</v>
      </c>
      <c r="AP231" s="66"/>
    </row>
    <row r="232" spans="1:42" ht="51">
      <c r="A232" s="2">
        <v>190</v>
      </c>
      <c r="B232" s="2">
        <v>197</v>
      </c>
      <c r="C232" s="1" t="s">
        <v>1736</v>
      </c>
      <c r="D232" s="1" t="s">
        <v>6</v>
      </c>
      <c r="E232" s="1">
        <v>3</v>
      </c>
      <c r="F232" s="1" t="s">
        <v>1737</v>
      </c>
      <c r="G232" s="1" t="s">
        <v>1738</v>
      </c>
      <c r="H232" s="2" t="s">
        <v>2486</v>
      </c>
      <c r="I232" s="1" t="s">
        <v>4166</v>
      </c>
      <c r="J232" s="1" t="s">
        <v>4127</v>
      </c>
      <c r="K232" s="63">
        <v>29104391</v>
      </c>
      <c r="L232" s="1" t="s">
        <v>2438</v>
      </c>
      <c r="M232" s="1">
        <v>3447000</v>
      </c>
      <c r="N232" s="1" t="s">
        <v>3735</v>
      </c>
      <c r="O232" s="1" t="s">
        <v>4181</v>
      </c>
      <c r="P232" s="1">
        <v>3428</v>
      </c>
      <c r="Q232" s="64">
        <v>43073</v>
      </c>
      <c r="R232" s="64">
        <v>46724</v>
      </c>
      <c r="S232" s="62" t="s">
        <v>2440</v>
      </c>
      <c r="T232" s="30" t="s">
        <v>2436</v>
      </c>
      <c r="U232" s="9" t="s">
        <v>2480</v>
      </c>
      <c r="V232" s="1" t="s">
        <v>3630</v>
      </c>
      <c r="W232" s="1" t="s">
        <v>1739</v>
      </c>
      <c r="X232" s="1">
        <v>2940</v>
      </c>
      <c r="Y232" s="60">
        <v>92544.458</v>
      </c>
      <c r="Z232" s="60">
        <v>98693.47</v>
      </c>
      <c r="AA232" s="2" t="s">
        <v>3741</v>
      </c>
      <c r="AB232" s="66"/>
      <c r="AC232" s="66"/>
      <c r="AD232" s="2"/>
      <c r="AE232" s="2"/>
      <c r="AF232" s="2"/>
      <c r="AG232" s="66"/>
      <c r="AH232" s="43"/>
      <c r="AI232" s="43"/>
      <c r="AJ232" s="2"/>
      <c r="AK232" s="1"/>
      <c r="AL232" s="1"/>
      <c r="AM232" s="1"/>
      <c r="AN232" s="44">
        <f t="shared" si="4"/>
        <v>0</v>
      </c>
      <c r="AO232" s="45">
        <f t="shared" si="5"/>
        <v>0</v>
      </c>
      <c r="AP232" s="66"/>
    </row>
    <row r="233" spans="1:42" ht="33.75" customHeight="1">
      <c r="A233" s="2">
        <v>191</v>
      </c>
      <c r="B233" s="2">
        <v>198</v>
      </c>
      <c r="C233" s="1" t="s">
        <v>1740</v>
      </c>
      <c r="D233" s="1" t="s">
        <v>6</v>
      </c>
      <c r="E233" s="13">
        <v>3</v>
      </c>
      <c r="F233" s="13" t="s">
        <v>1741</v>
      </c>
      <c r="G233" s="2" t="s">
        <v>1742</v>
      </c>
      <c r="H233" s="2" t="s">
        <v>2486</v>
      </c>
      <c r="I233" s="1" t="s">
        <v>4166</v>
      </c>
      <c r="J233" s="1" t="s">
        <v>4127</v>
      </c>
      <c r="K233" s="63">
        <v>29104391</v>
      </c>
      <c r="L233" s="1" t="s">
        <v>2438</v>
      </c>
      <c r="M233" s="1">
        <v>3447000</v>
      </c>
      <c r="N233" s="1" t="s">
        <v>3735</v>
      </c>
      <c r="O233" s="1" t="s">
        <v>4181</v>
      </c>
      <c r="P233" s="1">
        <v>3428</v>
      </c>
      <c r="Q233" s="64">
        <v>43073</v>
      </c>
      <c r="R233" s="64">
        <v>46724</v>
      </c>
      <c r="S233" s="62" t="s">
        <v>2440</v>
      </c>
      <c r="T233" s="30" t="s">
        <v>2436</v>
      </c>
      <c r="U233" s="2" t="s">
        <v>2443</v>
      </c>
      <c r="V233" s="23" t="s">
        <v>3631</v>
      </c>
      <c r="W233" s="23" t="s">
        <v>1743</v>
      </c>
      <c r="X233" s="1">
        <v>2917</v>
      </c>
      <c r="Y233" s="60">
        <v>92817.93</v>
      </c>
      <c r="Z233" s="60">
        <v>98531.23</v>
      </c>
      <c r="AA233" s="2" t="s">
        <v>4043</v>
      </c>
      <c r="AB233" s="66"/>
      <c r="AC233" s="66"/>
      <c r="AD233" s="2"/>
      <c r="AE233" s="2"/>
      <c r="AF233" s="2"/>
      <c r="AG233" s="66"/>
      <c r="AH233" s="43"/>
      <c r="AI233" s="43"/>
      <c r="AJ233" s="2"/>
      <c r="AK233" s="1"/>
      <c r="AL233" s="1"/>
      <c r="AM233" s="1"/>
      <c r="AN233" s="117">
        <v>73621.20084274151</v>
      </c>
      <c r="AO233" s="118">
        <v>60211.01277584122</v>
      </c>
      <c r="AP233" s="92" t="s">
        <v>2413</v>
      </c>
    </row>
    <row r="234" spans="1:42" ht="48.75" customHeight="1">
      <c r="A234" s="2">
        <v>192</v>
      </c>
      <c r="B234" s="2">
        <v>199</v>
      </c>
      <c r="C234" s="1" t="s">
        <v>1740</v>
      </c>
      <c r="D234" s="1" t="s">
        <v>6</v>
      </c>
      <c r="E234" s="13">
        <v>3</v>
      </c>
      <c r="F234" s="13" t="s">
        <v>1744</v>
      </c>
      <c r="G234" s="2" t="s">
        <v>1742</v>
      </c>
      <c r="H234" s="2" t="s">
        <v>2486</v>
      </c>
      <c r="I234" s="1" t="s">
        <v>4166</v>
      </c>
      <c r="J234" s="1" t="s">
        <v>4127</v>
      </c>
      <c r="K234" s="63">
        <v>29104391</v>
      </c>
      <c r="L234" s="1" t="s">
        <v>2438</v>
      </c>
      <c r="M234" s="1">
        <v>3447000</v>
      </c>
      <c r="N234" s="1" t="s">
        <v>3735</v>
      </c>
      <c r="O234" s="1" t="s">
        <v>4181</v>
      </c>
      <c r="P234" s="1">
        <v>3428</v>
      </c>
      <c r="Q234" s="64">
        <v>43073</v>
      </c>
      <c r="R234" s="64">
        <v>46724</v>
      </c>
      <c r="S234" s="62" t="s">
        <v>2440</v>
      </c>
      <c r="T234" s="29" t="s">
        <v>2442</v>
      </c>
      <c r="U234" s="2" t="s">
        <v>2443</v>
      </c>
      <c r="V234" s="23" t="s">
        <v>3632</v>
      </c>
      <c r="W234" s="23" t="s">
        <v>1745</v>
      </c>
      <c r="X234" s="1">
        <v>2917</v>
      </c>
      <c r="Y234" s="60">
        <v>92817.93</v>
      </c>
      <c r="Z234" s="60">
        <v>98528.15</v>
      </c>
      <c r="AA234" s="2" t="s">
        <v>3865</v>
      </c>
      <c r="AB234" s="94">
        <v>43753</v>
      </c>
      <c r="AC234" s="50">
        <v>0.4791666666666667</v>
      </c>
      <c r="AD234" s="93"/>
      <c r="AE234" s="93"/>
      <c r="AF234" s="93"/>
      <c r="AG234" s="93"/>
      <c r="AH234" s="93"/>
      <c r="AI234" s="93"/>
      <c r="AJ234" s="93"/>
      <c r="AK234" s="93"/>
      <c r="AL234" s="93"/>
      <c r="AM234" s="93"/>
      <c r="AN234" s="117">
        <v>1326.2010133778506</v>
      </c>
      <c r="AO234" s="118">
        <v>1242.4029364616201</v>
      </c>
      <c r="AP234" s="13" t="s">
        <v>2413</v>
      </c>
    </row>
    <row r="235" spans="1:42" ht="54" customHeight="1">
      <c r="A235" s="2">
        <v>193</v>
      </c>
      <c r="B235" s="2">
        <v>200</v>
      </c>
      <c r="C235" s="1" t="s">
        <v>1740</v>
      </c>
      <c r="D235" s="1" t="s">
        <v>6</v>
      </c>
      <c r="E235" s="13">
        <v>3</v>
      </c>
      <c r="F235" s="13" t="s">
        <v>1746</v>
      </c>
      <c r="G235" s="2" t="s">
        <v>1747</v>
      </c>
      <c r="H235" s="2" t="s">
        <v>2486</v>
      </c>
      <c r="I235" s="1" t="s">
        <v>4166</v>
      </c>
      <c r="J235" s="1" t="s">
        <v>4127</v>
      </c>
      <c r="K235" s="63">
        <v>29104391</v>
      </c>
      <c r="L235" s="1" t="s">
        <v>2438</v>
      </c>
      <c r="M235" s="1">
        <v>3447000</v>
      </c>
      <c r="N235" s="1" t="s">
        <v>3735</v>
      </c>
      <c r="O235" s="1" t="s">
        <v>4181</v>
      </c>
      <c r="P235" s="1">
        <v>3428</v>
      </c>
      <c r="Q235" s="64">
        <v>43073</v>
      </c>
      <c r="R235" s="64">
        <v>46724</v>
      </c>
      <c r="S235" s="62" t="s">
        <v>2440</v>
      </c>
      <c r="T235" s="29" t="s">
        <v>2441</v>
      </c>
      <c r="U235" s="2" t="s">
        <v>2443</v>
      </c>
      <c r="V235" s="23" t="s">
        <v>3633</v>
      </c>
      <c r="W235" s="23" t="s">
        <v>1745</v>
      </c>
      <c r="X235" s="1">
        <v>2917</v>
      </c>
      <c r="Y235" s="60">
        <v>92830.22</v>
      </c>
      <c r="Z235" s="60">
        <v>98528.15</v>
      </c>
      <c r="AA235" s="2" t="s">
        <v>3865</v>
      </c>
      <c r="AB235" s="94">
        <v>43753</v>
      </c>
      <c r="AC235" s="50">
        <v>0.4847222222222222</v>
      </c>
      <c r="AD235" s="93"/>
      <c r="AE235" s="93"/>
      <c r="AF235" s="93"/>
      <c r="AG235" s="93"/>
      <c r="AH235" s="93"/>
      <c r="AI235" s="93"/>
      <c r="AJ235" s="93"/>
      <c r="AK235" s="93"/>
      <c r="AL235" s="93"/>
      <c r="AM235" s="93"/>
      <c r="AN235" s="117">
        <f aca="true" t="shared" si="6" ref="AN235:AN302">AH235*AJ235*AK235*AL235</f>
        <v>0</v>
      </c>
      <c r="AO235" s="118">
        <f aca="true" t="shared" si="7" ref="AO235:AO302">AI235*AJ235*AK235*AM235</f>
        <v>0</v>
      </c>
      <c r="AP235" s="13" t="s">
        <v>2413</v>
      </c>
    </row>
    <row r="236" spans="1:42" ht="25.5">
      <c r="A236" s="2">
        <v>194</v>
      </c>
      <c r="B236" s="2">
        <v>201</v>
      </c>
      <c r="C236" s="1" t="s">
        <v>1748</v>
      </c>
      <c r="D236" s="1" t="s">
        <v>6</v>
      </c>
      <c r="E236" s="1">
        <v>3</v>
      </c>
      <c r="F236" s="1" t="s">
        <v>1749</v>
      </c>
      <c r="G236" s="1" t="s">
        <v>1750</v>
      </c>
      <c r="H236" s="2" t="s">
        <v>2486</v>
      </c>
      <c r="I236" s="1" t="s">
        <v>4166</v>
      </c>
      <c r="J236" s="1" t="s">
        <v>4127</v>
      </c>
      <c r="K236" s="63">
        <v>29104391</v>
      </c>
      <c r="L236" s="1" t="s">
        <v>2438</v>
      </c>
      <c r="M236" s="1">
        <v>3447000</v>
      </c>
      <c r="N236" s="1" t="s">
        <v>3735</v>
      </c>
      <c r="O236" s="1" t="s">
        <v>4181</v>
      </c>
      <c r="P236" s="1">
        <v>3428</v>
      </c>
      <c r="Q236" s="64">
        <v>43073</v>
      </c>
      <c r="R236" s="64">
        <v>46724</v>
      </c>
      <c r="S236" s="62" t="s">
        <v>2440</v>
      </c>
      <c r="T236" s="30" t="s">
        <v>2436</v>
      </c>
      <c r="U236" s="9" t="s">
        <v>2480</v>
      </c>
      <c r="V236" s="1" t="s">
        <v>3634</v>
      </c>
      <c r="W236" s="1" t="s">
        <v>1751</v>
      </c>
      <c r="X236" s="1">
        <v>3037</v>
      </c>
      <c r="Y236" s="60">
        <v>92062.331</v>
      </c>
      <c r="Z236" s="60">
        <v>98926.956</v>
      </c>
      <c r="AA236" s="2" t="s">
        <v>3741</v>
      </c>
      <c r="AB236" s="66"/>
      <c r="AC236" s="66"/>
      <c r="AD236" s="2"/>
      <c r="AE236" s="2"/>
      <c r="AF236" s="2"/>
      <c r="AG236" s="66"/>
      <c r="AH236" s="43"/>
      <c r="AI236" s="43"/>
      <c r="AJ236" s="2"/>
      <c r="AK236" s="1"/>
      <c r="AL236" s="1"/>
      <c r="AM236" s="1"/>
      <c r="AN236" s="44">
        <f t="shared" si="6"/>
        <v>0</v>
      </c>
      <c r="AO236" s="45">
        <f t="shared" si="7"/>
        <v>0</v>
      </c>
      <c r="AP236" s="66"/>
    </row>
    <row r="237" spans="1:42" ht="50.25" customHeight="1">
      <c r="A237" s="2">
        <v>195</v>
      </c>
      <c r="B237" s="2">
        <v>202</v>
      </c>
      <c r="C237" s="1" t="s">
        <v>1748</v>
      </c>
      <c r="D237" s="1" t="s">
        <v>6</v>
      </c>
      <c r="E237" s="13">
        <v>3</v>
      </c>
      <c r="F237" s="13" t="s">
        <v>1752</v>
      </c>
      <c r="G237" s="2" t="s">
        <v>1742</v>
      </c>
      <c r="H237" s="2" t="s">
        <v>2486</v>
      </c>
      <c r="I237" s="1" t="s">
        <v>4166</v>
      </c>
      <c r="J237" s="1" t="s">
        <v>4127</v>
      </c>
      <c r="K237" s="63">
        <v>29104391</v>
      </c>
      <c r="L237" s="1" t="s">
        <v>2438</v>
      </c>
      <c r="M237" s="1">
        <v>3447000</v>
      </c>
      <c r="N237" s="1" t="s">
        <v>3735</v>
      </c>
      <c r="O237" s="1" t="s">
        <v>4181</v>
      </c>
      <c r="P237" s="1">
        <v>3428</v>
      </c>
      <c r="Q237" s="64">
        <v>43073</v>
      </c>
      <c r="R237" s="64">
        <v>46724</v>
      </c>
      <c r="S237" s="62" t="s">
        <v>2440</v>
      </c>
      <c r="T237" s="29" t="s">
        <v>2442</v>
      </c>
      <c r="U237" s="2" t="s">
        <v>2443</v>
      </c>
      <c r="V237" s="23" t="s">
        <v>3635</v>
      </c>
      <c r="W237" s="23" t="s">
        <v>1753</v>
      </c>
      <c r="X237" s="1">
        <v>2908</v>
      </c>
      <c r="Y237" s="60">
        <v>92833.29</v>
      </c>
      <c r="Z237" s="60">
        <v>98472.64</v>
      </c>
      <c r="AA237" s="2" t="s">
        <v>3865</v>
      </c>
      <c r="AB237" s="94">
        <v>43756</v>
      </c>
      <c r="AC237" s="50">
        <v>0.43402777777777773</v>
      </c>
      <c r="AD237" s="2"/>
      <c r="AE237" s="2"/>
      <c r="AF237" s="2"/>
      <c r="AG237" s="66"/>
      <c r="AH237" s="43"/>
      <c r="AI237" s="43"/>
      <c r="AJ237" s="2"/>
      <c r="AK237" s="1"/>
      <c r="AL237" s="1"/>
      <c r="AM237" s="1"/>
      <c r="AN237" s="117">
        <f>AH237*AJ237*AK237*AL237</f>
        <v>0</v>
      </c>
      <c r="AO237" s="118">
        <f>AI237*AJ237*AK237*AM237</f>
        <v>0</v>
      </c>
      <c r="AP237" s="13" t="s">
        <v>2413</v>
      </c>
    </row>
    <row r="238" spans="1:42" ht="55.5" customHeight="1">
      <c r="A238" s="2">
        <v>196</v>
      </c>
      <c r="B238" s="2">
        <v>203</v>
      </c>
      <c r="C238" s="1" t="s">
        <v>1748</v>
      </c>
      <c r="D238" s="1" t="s">
        <v>6</v>
      </c>
      <c r="E238" s="13">
        <v>3</v>
      </c>
      <c r="F238" s="13" t="s">
        <v>1754</v>
      </c>
      <c r="G238" s="2" t="s">
        <v>1755</v>
      </c>
      <c r="H238" s="2" t="s">
        <v>2486</v>
      </c>
      <c r="I238" s="1" t="s">
        <v>4166</v>
      </c>
      <c r="J238" s="1" t="s">
        <v>4127</v>
      </c>
      <c r="K238" s="63">
        <v>29104391</v>
      </c>
      <c r="L238" s="1" t="s">
        <v>2438</v>
      </c>
      <c r="M238" s="1">
        <v>3447000</v>
      </c>
      <c r="N238" s="1" t="s">
        <v>3735</v>
      </c>
      <c r="O238" s="1" t="s">
        <v>4181</v>
      </c>
      <c r="P238" s="1">
        <v>3428</v>
      </c>
      <c r="Q238" s="64">
        <v>43073</v>
      </c>
      <c r="R238" s="64">
        <v>46724</v>
      </c>
      <c r="S238" s="62" t="s">
        <v>2440</v>
      </c>
      <c r="T238" s="29" t="s">
        <v>2442</v>
      </c>
      <c r="U238" s="2" t="s">
        <v>2443</v>
      </c>
      <c r="V238" s="23" t="s">
        <v>3636</v>
      </c>
      <c r="W238" s="23" t="s">
        <v>1756</v>
      </c>
      <c r="X238" s="1">
        <v>2892</v>
      </c>
      <c r="Y238" s="60">
        <v>92913.18</v>
      </c>
      <c r="Z238" s="60">
        <v>98401.7</v>
      </c>
      <c r="AA238" s="2" t="s">
        <v>3866</v>
      </c>
      <c r="AB238" s="94">
        <v>43328</v>
      </c>
      <c r="AC238" s="50">
        <v>0.46319444444444446</v>
      </c>
      <c r="AD238" s="2"/>
      <c r="AE238" s="2"/>
      <c r="AF238" s="2"/>
      <c r="AG238" s="66"/>
      <c r="AH238" s="43"/>
      <c r="AI238" s="43"/>
      <c r="AJ238" s="2"/>
      <c r="AK238" s="1"/>
      <c r="AL238" s="1"/>
      <c r="AM238" s="1"/>
      <c r="AN238" s="117">
        <f>AH238*AJ238*AK238*AL238</f>
        <v>0</v>
      </c>
      <c r="AO238" s="118">
        <f>AI238*AJ238*AK238*AM238</f>
        <v>0</v>
      </c>
      <c r="AP238" s="13" t="s">
        <v>2413</v>
      </c>
    </row>
    <row r="239" spans="1:42" ht="48" customHeight="1">
      <c r="A239" s="2">
        <v>197</v>
      </c>
      <c r="B239" s="2">
        <v>204</v>
      </c>
      <c r="C239" s="1" t="s">
        <v>1748</v>
      </c>
      <c r="D239" s="1" t="s">
        <v>6</v>
      </c>
      <c r="E239" s="13">
        <v>3</v>
      </c>
      <c r="F239" s="13" t="s">
        <v>1757</v>
      </c>
      <c r="G239" s="2" t="s">
        <v>1758</v>
      </c>
      <c r="H239" s="2" t="s">
        <v>2486</v>
      </c>
      <c r="I239" s="1" t="s">
        <v>4166</v>
      </c>
      <c r="J239" s="1" t="s">
        <v>4127</v>
      </c>
      <c r="K239" s="63">
        <v>29104391</v>
      </c>
      <c r="L239" s="1" t="s">
        <v>2438</v>
      </c>
      <c r="M239" s="1">
        <v>3447000</v>
      </c>
      <c r="N239" s="1" t="s">
        <v>3735</v>
      </c>
      <c r="O239" s="1" t="s">
        <v>4181</v>
      </c>
      <c r="P239" s="1">
        <v>3428</v>
      </c>
      <c r="Q239" s="64">
        <v>43073</v>
      </c>
      <c r="R239" s="64">
        <v>46724</v>
      </c>
      <c r="S239" s="62" t="s">
        <v>2440</v>
      </c>
      <c r="T239" s="29" t="s">
        <v>2441</v>
      </c>
      <c r="U239" s="2" t="s">
        <v>2443</v>
      </c>
      <c r="V239" s="23" t="s">
        <v>3637</v>
      </c>
      <c r="W239" s="23" t="s">
        <v>1759</v>
      </c>
      <c r="X239" s="1">
        <v>2884</v>
      </c>
      <c r="Y239" s="60">
        <v>93017.66</v>
      </c>
      <c r="Z239" s="60">
        <v>98395.53</v>
      </c>
      <c r="AA239" s="2" t="s">
        <v>3866</v>
      </c>
      <c r="AB239" s="94">
        <v>43328</v>
      </c>
      <c r="AC239" s="50">
        <v>0.4583333333333333</v>
      </c>
      <c r="AD239" s="93"/>
      <c r="AE239" s="93"/>
      <c r="AF239" s="93"/>
      <c r="AG239" s="93"/>
      <c r="AH239" s="93"/>
      <c r="AI239" s="93"/>
      <c r="AJ239" s="93"/>
      <c r="AK239" s="93"/>
      <c r="AL239" s="93"/>
      <c r="AM239" s="93"/>
      <c r="AN239" s="117">
        <f t="shared" si="6"/>
        <v>0</v>
      </c>
      <c r="AO239" s="118">
        <f t="shared" si="7"/>
        <v>0</v>
      </c>
      <c r="AP239" s="13" t="s">
        <v>2413</v>
      </c>
    </row>
    <row r="240" spans="1:42" ht="48.75" customHeight="1">
      <c r="A240" s="2">
        <v>198</v>
      </c>
      <c r="B240" s="2">
        <v>205</v>
      </c>
      <c r="C240" s="1" t="s">
        <v>1748</v>
      </c>
      <c r="D240" s="1" t="s">
        <v>6</v>
      </c>
      <c r="E240" s="13">
        <v>3</v>
      </c>
      <c r="F240" s="13" t="s">
        <v>1760</v>
      </c>
      <c r="G240" s="2" t="s">
        <v>1761</v>
      </c>
      <c r="H240" s="2" t="s">
        <v>2486</v>
      </c>
      <c r="I240" s="1" t="s">
        <v>4166</v>
      </c>
      <c r="J240" s="1" t="s">
        <v>4127</v>
      </c>
      <c r="K240" s="63">
        <v>29104391</v>
      </c>
      <c r="L240" s="1" t="s">
        <v>2438</v>
      </c>
      <c r="M240" s="1">
        <v>3447000</v>
      </c>
      <c r="N240" s="1" t="s">
        <v>3735</v>
      </c>
      <c r="O240" s="1" t="s">
        <v>4181</v>
      </c>
      <c r="P240" s="1">
        <v>3428</v>
      </c>
      <c r="Q240" s="64">
        <v>43073</v>
      </c>
      <c r="R240" s="64">
        <v>46724</v>
      </c>
      <c r="S240" s="62" t="s">
        <v>2440</v>
      </c>
      <c r="T240" s="29" t="s">
        <v>2442</v>
      </c>
      <c r="U240" s="2" t="s">
        <v>2443</v>
      </c>
      <c r="V240" s="23" t="s">
        <v>3638</v>
      </c>
      <c r="W240" s="23" t="s">
        <v>1762</v>
      </c>
      <c r="X240" s="1">
        <v>2870</v>
      </c>
      <c r="Y240" s="60">
        <v>93072.97</v>
      </c>
      <c r="Z240" s="60">
        <v>98293.76</v>
      </c>
      <c r="AA240" s="2" t="s">
        <v>3753</v>
      </c>
      <c r="AB240" s="94">
        <v>43756</v>
      </c>
      <c r="AC240" s="20" t="s">
        <v>3738</v>
      </c>
      <c r="AD240" s="2">
        <v>316</v>
      </c>
      <c r="AE240" s="2">
        <v>220</v>
      </c>
      <c r="AF240" s="2">
        <v>3.904</v>
      </c>
      <c r="AG240" s="69">
        <v>24</v>
      </c>
      <c r="AH240" s="43">
        <f>AF240*AD240*AG240*0.0036</f>
        <v>106.5885696</v>
      </c>
      <c r="AI240" s="43">
        <f>AF240*AE240*AG240*0.0036</f>
        <v>74.20723199999999</v>
      </c>
      <c r="AJ240" s="2">
        <v>30</v>
      </c>
      <c r="AK240" s="1">
        <v>12</v>
      </c>
      <c r="AL240" s="1">
        <v>0.59</v>
      </c>
      <c r="AM240" s="1">
        <v>0.58</v>
      </c>
      <c r="AN240" s="117">
        <f t="shared" si="6"/>
        <v>22639.41218304</v>
      </c>
      <c r="AO240" s="118">
        <f t="shared" si="7"/>
        <v>15494.470041599998</v>
      </c>
      <c r="AP240" s="13" t="s">
        <v>2413</v>
      </c>
    </row>
    <row r="241" spans="1:42" ht="36" customHeight="1">
      <c r="A241" s="2">
        <v>199</v>
      </c>
      <c r="B241" s="2">
        <v>206</v>
      </c>
      <c r="C241" s="1" t="s">
        <v>1748</v>
      </c>
      <c r="D241" s="1" t="s">
        <v>6</v>
      </c>
      <c r="E241" s="13">
        <v>3</v>
      </c>
      <c r="F241" s="13" t="s">
        <v>1763</v>
      </c>
      <c r="G241" s="2" t="s">
        <v>1764</v>
      </c>
      <c r="H241" s="2" t="s">
        <v>2486</v>
      </c>
      <c r="I241" s="1" t="s">
        <v>4166</v>
      </c>
      <c r="J241" s="1" t="s">
        <v>4127</v>
      </c>
      <c r="K241" s="63">
        <v>29104391</v>
      </c>
      <c r="L241" s="1" t="s">
        <v>2438</v>
      </c>
      <c r="M241" s="1">
        <v>3447000</v>
      </c>
      <c r="N241" s="1" t="s">
        <v>3735</v>
      </c>
      <c r="O241" s="1" t="s">
        <v>4181</v>
      </c>
      <c r="P241" s="1">
        <v>3428</v>
      </c>
      <c r="Q241" s="64">
        <v>43073</v>
      </c>
      <c r="R241" s="64">
        <v>46724</v>
      </c>
      <c r="S241" s="62" t="s">
        <v>2440</v>
      </c>
      <c r="T241" s="29" t="s">
        <v>2441</v>
      </c>
      <c r="U241" s="2" t="s">
        <v>2443</v>
      </c>
      <c r="V241" s="23" t="s">
        <v>3639</v>
      </c>
      <c r="W241" s="23" t="s">
        <v>1765</v>
      </c>
      <c r="X241" s="1">
        <v>2846</v>
      </c>
      <c r="Y241" s="60">
        <v>93205.1</v>
      </c>
      <c r="Z241" s="60">
        <v>98201.23</v>
      </c>
      <c r="AA241" s="2" t="s">
        <v>4046</v>
      </c>
      <c r="AB241" s="94"/>
      <c r="AC241" s="20"/>
      <c r="AD241" s="2"/>
      <c r="AE241" s="2"/>
      <c r="AF241" s="2"/>
      <c r="AG241" s="69"/>
      <c r="AH241" s="43"/>
      <c r="AI241" s="43"/>
      <c r="AJ241" s="2"/>
      <c r="AK241" s="1"/>
      <c r="AL241" s="1"/>
      <c r="AM241" s="1"/>
      <c r="AN241" s="117">
        <f>AVERAGE(AN242:AN243)</f>
        <v>1361.0581632000003</v>
      </c>
      <c r="AO241" s="117">
        <f>AVERAGE(AO242:AO243)</f>
        <v>15310.181951999997</v>
      </c>
      <c r="AP241" s="13" t="s">
        <v>2413</v>
      </c>
    </row>
    <row r="242" spans="1:42" ht="36" customHeight="1">
      <c r="A242" s="2"/>
      <c r="B242" s="2"/>
      <c r="C242" s="1"/>
      <c r="D242" s="1"/>
      <c r="E242" s="13"/>
      <c r="F242" s="13"/>
      <c r="G242" s="2"/>
      <c r="H242" s="2"/>
      <c r="I242" s="1"/>
      <c r="J242" s="1"/>
      <c r="K242" s="63"/>
      <c r="L242" s="1"/>
      <c r="M242" s="1"/>
      <c r="N242" s="1"/>
      <c r="O242" s="1"/>
      <c r="P242" s="1"/>
      <c r="Q242" s="64"/>
      <c r="R242" s="64"/>
      <c r="S242" s="62"/>
      <c r="T242" s="29"/>
      <c r="U242" s="2"/>
      <c r="V242" s="23"/>
      <c r="W242" s="23"/>
      <c r="X242" s="1"/>
      <c r="Y242" s="60"/>
      <c r="Z242" s="60"/>
      <c r="AA242" s="2" t="s">
        <v>3753</v>
      </c>
      <c r="AB242" s="94">
        <v>43759</v>
      </c>
      <c r="AC242" s="20" t="s">
        <v>2408</v>
      </c>
      <c r="AD242" s="2">
        <v>156</v>
      </c>
      <c r="AE242" s="2">
        <v>140</v>
      </c>
      <c r="AF242" s="2">
        <v>0.395</v>
      </c>
      <c r="AG242" s="69">
        <v>24</v>
      </c>
      <c r="AH242" s="102">
        <f>AF242*AD242*AG242*0.0036</f>
        <v>5.323968</v>
      </c>
      <c r="AI242" s="102">
        <f>AF242*AE242*AG242*0.0036</f>
        <v>4.77792</v>
      </c>
      <c r="AJ242" s="2">
        <v>30</v>
      </c>
      <c r="AK242" s="1">
        <v>12</v>
      </c>
      <c r="AL242" s="1">
        <v>0.55</v>
      </c>
      <c r="AM242" s="1">
        <v>0.59</v>
      </c>
      <c r="AN242" s="127">
        <f>AH242*AJ242*AK242*AL242</f>
        <v>1054.1456640000001</v>
      </c>
      <c r="AO242" s="128">
        <f>AI242*AJ242*AK242*AM242</f>
        <v>1014.830208</v>
      </c>
      <c r="AP242" s="13"/>
    </row>
    <row r="243" spans="1:42" ht="36" customHeight="1">
      <c r="A243" s="2"/>
      <c r="B243" s="2"/>
      <c r="C243" s="1"/>
      <c r="D243" s="1"/>
      <c r="E243" s="13"/>
      <c r="F243" s="13"/>
      <c r="G243" s="2"/>
      <c r="H243" s="2"/>
      <c r="I243" s="1"/>
      <c r="J243" s="1"/>
      <c r="K243" s="63"/>
      <c r="L243" s="1"/>
      <c r="M243" s="1"/>
      <c r="N243" s="1"/>
      <c r="O243" s="1"/>
      <c r="P243" s="1"/>
      <c r="Q243" s="64"/>
      <c r="R243" s="64"/>
      <c r="S243" s="62"/>
      <c r="T243" s="29"/>
      <c r="U243" s="2"/>
      <c r="V243" s="23"/>
      <c r="W243" s="23"/>
      <c r="X243" s="1"/>
      <c r="Y243" s="60"/>
      <c r="Z243" s="60"/>
      <c r="AA243" s="2" t="s">
        <v>4120</v>
      </c>
      <c r="AB243" s="94">
        <v>43552</v>
      </c>
      <c r="AC243" s="20" t="s">
        <v>2505</v>
      </c>
      <c r="AD243" s="2">
        <v>126</v>
      </c>
      <c r="AE243" s="2">
        <v>2020</v>
      </c>
      <c r="AF243" s="2">
        <v>0.76</v>
      </c>
      <c r="AG243" s="69">
        <v>24</v>
      </c>
      <c r="AH243" s="102">
        <f>AF243*AD243*AG243*0.0036</f>
        <v>8.273664</v>
      </c>
      <c r="AI243" s="102">
        <f>AF243*AE243*AG243*0.0036</f>
        <v>132.64128</v>
      </c>
      <c r="AJ243" s="2">
        <v>30</v>
      </c>
      <c r="AK243" s="1">
        <v>12</v>
      </c>
      <c r="AL243" s="1">
        <v>0.56</v>
      </c>
      <c r="AM243" s="1">
        <v>0.62</v>
      </c>
      <c r="AN243" s="127">
        <f>AH243*AJ243*AK243*AL243</f>
        <v>1667.9706624000003</v>
      </c>
      <c r="AO243" s="128">
        <f>AI243*AJ243*AK243*AM243</f>
        <v>29605.533695999995</v>
      </c>
      <c r="AP243" s="13"/>
    </row>
    <row r="244" spans="1:42" ht="66.75" customHeight="1">
      <c r="A244" s="2">
        <v>200</v>
      </c>
      <c r="B244" s="2">
        <v>207</v>
      </c>
      <c r="C244" s="1" t="s">
        <v>1748</v>
      </c>
      <c r="D244" s="1" t="s">
        <v>6</v>
      </c>
      <c r="E244" s="13">
        <v>3</v>
      </c>
      <c r="F244" s="13" t="s">
        <v>1766</v>
      </c>
      <c r="G244" s="2" t="s">
        <v>1767</v>
      </c>
      <c r="H244" s="2" t="s">
        <v>2486</v>
      </c>
      <c r="I244" s="1" t="s">
        <v>4166</v>
      </c>
      <c r="J244" s="1" t="s">
        <v>4127</v>
      </c>
      <c r="K244" s="63">
        <v>29104391</v>
      </c>
      <c r="L244" s="1" t="s">
        <v>2438</v>
      </c>
      <c r="M244" s="1">
        <v>3447000</v>
      </c>
      <c r="N244" s="1" t="s">
        <v>3735</v>
      </c>
      <c r="O244" s="1" t="s">
        <v>4181</v>
      </c>
      <c r="P244" s="1">
        <v>3428</v>
      </c>
      <c r="Q244" s="64">
        <v>43073</v>
      </c>
      <c r="R244" s="64">
        <v>46724</v>
      </c>
      <c r="S244" s="62" t="s">
        <v>2440</v>
      </c>
      <c r="T244" s="29" t="s">
        <v>2442</v>
      </c>
      <c r="U244" s="2" t="s">
        <v>2443</v>
      </c>
      <c r="V244" s="23" t="s">
        <v>3640</v>
      </c>
      <c r="W244" s="23" t="s">
        <v>1768</v>
      </c>
      <c r="X244" s="1">
        <v>2840</v>
      </c>
      <c r="Y244" s="60">
        <v>93186.66</v>
      </c>
      <c r="Z244" s="60">
        <v>98161.15</v>
      </c>
      <c r="AA244" s="2" t="s">
        <v>3867</v>
      </c>
      <c r="AB244" s="94">
        <v>43333</v>
      </c>
      <c r="AC244" s="135">
        <v>0.49444444444444446</v>
      </c>
      <c r="AD244" s="2"/>
      <c r="AE244" s="2"/>
      <c r="AF244" s="2"/>
      <c r="AG244" s="66"/>
      <c r="AH244" s="43"/>
      <c r="AI244" s="43"/>
      <c r="AJ244" s="2"/>
      <c r="AK244" s="1"/>
      <c r="AL244" s="1"/>
      <c r="AM244" s="1"/>
      <c r="AN244" s="117">
        <v>0</v>
      </c>
      <c r="AO244" s="118">
        <v>0</v>
      </c>
      <c r="AP244" s="13" t="s">
        <v>2413</v>
      </c>
    </row>
    <row r="245" spans="1:42" ht="12.75">
      <c r="A245" s="2">
        <v>201</v>
      </c>
      <c r="B245" s="2">
        <v>208</v>
      </c>
      <c r="C245" s="1" t="s">
        <v>1769</v>
      </c>
      <c r="D245" s="1" t="s">
        <v>6</v>
      </c>
      <c r="E245" s="1">
        <v>3</v>
      </c>
      <c r="F245" s="1" t="s">
        <v>1770</v>
      </c>
      <c r="G245" s="1" t="s">
        <v>1771</v>
      </c>
      <c r="H245" s="2" t="s">
        <v>2486</v>
      </c>
      <c r="I245" s="1" t="s">
        <v>4166</v>
      </c>
      <c r="J245" s="1" t="s">
        <v>4127</v>
      </c>
      <c r="K245" s="63">
        <v>29104391</v>
      </c>
      <c r="L245" s="1" t="s">
        <v>2438</v>
      </c>
      <c r="M245" s="1">
        <v>3447000</v>
      </c>
      <c r="N245" s="1" t="s">
        <v>3735</v>
      </c>
      <c r="O245" s="1" t="s">
        <v>4181</v>
      </c>
      <c r="P245" s="1">
        <v>3428</v>
      </c>
      <c r="Q245" s="64">
        <v>43073</v>
      </c>
      <c r="R245" s="64">
        <v>46724</v>
      </c>
      <c r="S245" s="62" t="s">
        <v>2440</v>
      </c>
      <c r="T245" s="30" t="s">
        <v>2436</v>
      </c>
      <c r="U245" s="9" t="s">
        <v>2480</v>
      </c>
      <c r="V245" s="1" t="s">
        <v>3641</v>
      </c>
      <c r="W245" s="1" t="s">
        <v>1772</v>
      </c>
      <c r="X245" s="1">
        <v>2991</v>
      </c>
      <c r="Y245" s="60">
        <v>92930.772</v>
      </c>
      <c r="Z245" s="60">
        <v>99217.691</v>
      </c>
      <c r="AA245" s="2" t="s">
        <v>3741</v>
      </c>
      <c r="AB245" s="66"/>
      <c r="AC245" s="66"/>
      <c r="AD245" s="2"/>
      <c r="AE245" s="2"/>
      <c r="AF245" s="2"/>
      <c r="AG245" s="66"/>
      <c r="AH245" s="43"/>
      <c r="AI245" s="43"/>
      <c r="AJ245" s="2"/>
      <c r="AK245" s="1"/>
      <c r="AL245" s="1"/>
      <c r="AM245" s="1"/>
      <c r="AN245" s="44">
        <f t="shared" si="6"/>
        <v>0</v>
      </c>
      <c r="AO245" s="45">
        <f t="shared" si="7"/>
        <v>0</v>
      </c>
      <c r="AP245" s="66"/>
    </row>
    <row r="246" spans="1:42" ht="12.75">
      <c r="A246" s="2">
        <v>202</v>
      </c>
      <c r="B246" s="2">
        <v>209</v>
      </c>
      <c r="C246" s="1" t="s">
        <v>1769</v>
      </c>
      <c r="D246" s="1" t="s">
        <v>6</v>
      </c>
      <c r="E246" s="1">
        <v>3</v>
      </c>
      <c r="F246" s="1" t="s">
        <v>1773</v>
      </c>
      <c r="G246" s="1" t="s">
        <v>1771</v>
      </c>
      <c r="H246" s="2" t="s">
        <v>2486</v>
      </c>
      <c r="I246" s="1" t="s">
        <v>4166</v>
      </c>
      <c r="J246" s="1" t="s">
        <v>4127</v>
      </c>
      <c r="K246" s="63">
        <v>29104391</v>
      </c>
      <c r="L246" s="1" t="s">
        <v>2438</v>
      </c>
      <c r="M246" s="1">
        <v>3447000</v>
      </c>
      <c r="N246" s="1" t="s">
        <v>3735</v>
      </c>
      <c r="O246" s="1" t="s">
        <v>4181</v>
      </c>
      <c r="P246" s="1">
        <v>3428</v>
      </c>
      <c r="Q246" s="64">
        <v>43073</v>
      </c>
      <c r="R246" s="64">
        <v>46724</v>
      </c>
      <c r="S246" s="62" t="s">
        <v>2440</v>
      </c>
      <c r="T246" s="29" t="s">
        <v>2442</v>
      </c>
      <c r="U246" s="9" t="s">
        <v>2480</v>
      </c>
      <c r="V246" s="1" t="s">
        <v>3642</v>
      </c>
      <c r="W246" s="1" t="s">
        <v>1774</v>
      </c>
      <c r="X246" s="1">
        <v>2993</v>
      </c>
      <c r="Y246" s="60">
        <v>92943.67</v>
      </c>
      <c r="Z246" s="60">
        <v>99235.88</v>
      </c>
      <c r="AA246" s="2" t="s">
        <v>3741</v>
      </c>
      <c r="AB246" s="66"/>
      <c r="AC246" s="66"/>
      <c r="AD246" s="2"/>
      <c r="AE246" s="2"/>
      <c r="AF246" s="2"/>
      <c r="AG246" s="66"/>
      <c r="AH246" s="43"/>
      <c r="AI246" s="43"/>
      <c r="AJ246" s="2"/>
      <c r="AK246" s="1"/>
      <c r="AL246" s="1"/>
      <c r="AM246" s="1"/>
      <c r="AN246" s="44">
        <f t="shared" si="6"/>
        <v>0</v>
      </c>
      <c r="AO246" s="45">
        <f t="shared" si="7"/>
        <v>0</v>
      </c>
      <c r="AP246" s="13" t="s">
        <v>2413</v>
      </c>
    </row>
    <row r="247" spans="1:42" ht="12.75">
      <c r="A247" s="2">
        <v>203</v>
      </c>
      <c r="B247" s="2">
        <v>210</v>
      </c>
      <c r="C247" s="1" t="s">
        <v>1769</v>
      </c>
      <c r="D247" s="1" t="s">
        <v>6</v>
      </c>
      <c r="E247" s="1">
        <v>3</v>
      </c>
      <c r="F247" s="1" t="s">
        <v>1775</v>
      </c>
      <c r="G247" s="1" t="s">
        <v>1776</v>
      </c>
      <c r="H247" s="2" t="s">
        <v>2486</v>
      </c>
      <c r="I247" s="1" t="s">
        <v>4166</v>
      </c>
      <c r="J247" s="1" t="s">
        <v>4127</v>
      </c>
      <c r="K247" s="63">
        <v>29104391</v>
      </c>
      <c r="L247" s="1" t="s">
        <v>2438</v>
      </c>
      <c r="M247" s="1">
        <v>3447000</v>
      </c>
      <c r="N247" s="1" t="s">
        <v>3735</v>
      </c>
      <c r="O247" s="1" t="s">
        <v>4181</v>
      </c>
      <c r="P247" s="1">
        <v>3428</v>
      </c>
      <c r="Q247" s="64">
        <v>43073</v>
      </c>
      <c r="R247" s="64">
        <v>46724</v>
      </c>
      <c r="S247" s="62" t="s">
        <v>2440</v>
      </c>
      <c r="T247" s="29" t="s">
        <v>2442</v>
      </c>
      <c r="U247" s="9" t="s">
        <v>2444</v>
      </c>
      <c r="V247" s="1" t="s">
        <v>3643</v>
      </c>
      <c r="W247" s="1" t="s">
        <v>1777</v>
      </c>
      <c r="X247" s="1">
        <v>2933</v>
      </c>
      <c r="Y247" s="60">
        <v>93210.06</v>
      </c>
      <c r="Z247" s="60">
        <v>98819.23</v>
      </c>
      <c r="AA247" s="2" t="s">
        <v>3741</v>
      </c>
      <c r="AB247" s="66"/>
      <c r="AC247" s="66"/>
      <c r="AD247" s="2"/>
      <c r="AE247" s="2"/>
      <c r="AF247" s="2"/>
      <c r="AG247" s="66"/>
      <c r="AH247" s="43"/>
      <c r="AI247" s="43"/>
      <c r="AJ247" s="2"/>
      <c r="AK247" s="1"/>
      <c r="AL247" s="1"/>
      <c r="AM247" s="1"/>
      <c r="AN247" s="44">
        <f t="shared" si="6"/>
        <v>0</v>
      </c>
      <c r="AO247" s="45">
        <f t="shared" si="7"/>
        <v>0</v>
      </c>
      <c r="AP247" s="13" t="s">
        <v>2413</v>
      </c>
    </row>
    <row r="248" spans="1:42" ht="12.75">
      <c r="A248" s="2">
        <v>204</v>
      </c>
      <c r="B248" s="2">
        <v>211</v>
      </c>
      <c r="C248" s="1" t="s">
        <v>1769</v>
      </c>
      <c r="D248" s="1" t="s">
        <v>6</v>
      </c>
      <c r="E248" s="1">
        <v>3</v>
      </c>
      <c r="F248" s="1" t="s">
        <v>1778</v>
      </c>
      <c r="G248" s="1" t="s">
        <v>1779</v>
      </c>
      <c r="H248" s="2" t="s">
        <v>2486</v>
      </c>
      <c r="I248" s="1" t="s">
        <v>4166</v>
      </c>
      <c r="J248" s="1" t="s">
        <v>4127</v>
      </c>
      <c r="K248" s="63">
        <v>29104391</v>
      </c>
      <c r="L248" s="1" t="s">
        <v>2438</v>
      </c>
      <c r="M248" s="1">
        <v>3447000</v>
      </c>
      <c r="N248" s="1" t="s">
        <v>3735</v>
      </c>
      <c r="O248" s="1" t="s">
        <v>4181</v>
      </c>
      <c r="P248" s="1">
        <v>3428</v>
      </c>
      <c r="Q248" s="64">
        <v>43073</v>
      </c>
      <c r="R248" s="64">
        <v>46724</v>
      </c>
      <c r="S248" s="62" t="s">
        <v>2440</v>
      </c>
      <c r="T248" s="29" t="s">
        <v>2441</v>
      </c>
      <c r="U248" s="9" t="s">
        <v>2444</v>
      </c>
      <c r="V248" s="1" t="s">
        <v>3644</v>
      </c>
      <c r="W248" s="1" t="s">
        <v>1780</v>
      </c>
      <c r="X248" s="1">
        <v>2927</v>
      </c>
      <c r="Y248" s="60">
        <v>93234.03</v>
      </c>
      <c r="Z248" s="60">
        <v>98771.12</v>
      </c>
      <c r="AA248" s="2" t="s">
        <v>3741</v>
      </c>
      <c r="AB248" s="66"/>
      <c r="AC248" s="66"/>
      <c r="AD248" s="2"/>
      <c r="AE248" s="2"/>
      <c r="AF248" s="2"/>
      <c r="AG248" s="66"/>
      <c r="AH248" s="43"/>
      <c r="AI248" s="43"/>
      <c r="AJ248" s="2"/>
      <c r="AK248" s="1"/>
      <c r="AL248" s="1"/>
      <c r="AM248" s="1"/>
      <c r="AN248" s="44">
        <f t="shared" si="6"/>
        <v>0</v>
      </c>
      <c r="AO248" s="45">
        <f t="shared" si="7"/>
        <v>0</v>
      </c>
      <c r="AP248" s="13" t="s">
        <v>2413</v>
      </c>
    </row>
    <row r="249" spans="1:42" ht="12.75">
      <c r="A249" s="2">
        <v>205</v>
      </c>
      <c r="B249" s="2">
        <v>212</v>
      </c>
      <c r="C249" s="1" t="s">
        <v>1769</v>
      </c>
      <c r="D249" s="1" t="s">
        <v>6</v>
      </c>
      <c r="E249" s="1">
        <v>3</v>
      </c>
      <c r="F249" s="1" t="s">
        <v>1781</v>
      </c>
      <c r="G249" s="1" t="s">
        <v>1782</v>
      </c>
      <c r="H249" s="2" t="s">
        <v>2486</v>
      </c>
      <c r="I249" s="1" t="s">
        <v>4166</v>
      </c>
      <c r="J249" s="1" t="s">
        <v>4127</v>
      </c>
      <c r="K249" s="63">
        <v>29104391</v>
      </c>
      <c r="L249" s="1" t="s">
        <v>2438</v>
      </c>
      <c r="M249" s="1">
        <v>3447000</v>
      </c>
      <c r="N249" s="1" t="s">
        <v>3735</v>
      </c>
      <c r="O249" s="1" t="s">
        <v>4181</v>
      </c>
      <c r="P249" s="1">
        <v>3428</v>
      </c>
      <c r="Q249" s="64">
        <v>43073</v>
      </c>
      <c r="R249" s="64">
        <v>46724</v>
      </c>
      <c r="S249" s="62" t="s">
        <v>2440</v>
      </c>
      <c r="T249" s="29" t="s">
        <v>2442</v>
      </c>
      <c r="U249" s="9" t="s">
        <v>2444</v>
      </c>
      <c r="V249" s="1" t="s">
        <v>3645</v>
      </c>
      <c r="W249" s="1" t="s">
        <v>1783</v>
      </c>
      <c r="X249" s="1">
        <v>2892</v>
      </c>
      <c r="Y249" s="60">
        <v>93324.36</v>
      </c>
      <c r="Z249" s="60">
        <v>98549.08</v>
      </c>
      <c r="AA249" s="2" t="s">
        <v>3741</v>
      </c>
      <c r="AB249" s="66"/>
      <c r="AC249" s="66"/>
      <c r="AD249" s="2"/>
      <c r="AE249" s="2"/>
      <c r="AF249" s="2"/>
      <c r="AG249" s="66"/>
      <c r="AH249" s="43"/>
      <c r="AI249" s="43"/>
      <c r="AJ249" s="2"/>
      <c r="AK249" s="1"/>
      <c r="AL249" s="1"/>
      <c r="AM249" s="1"/>
      <c r="AN249" s="44">
        <f t="shared" si="6"/>
        <v>0</v>
      </c>
      <c r="AO249" s="45">
        <f t="shared" si="7"/>
        <v>0</v>
      </c>
      <c r="AP249" s="13" t="s">
        <v>2413</v>
      </c>
    </row>
    <row r="250" spans="1:42" ht="12.75">
      <c r="A250" s="2">
        <v>206</v>
      </c>
      <c r="B250" s="2">
        <v>213</v>
      </c>
      <c r="C250" s="1" t="s">
        <v>1769</v>
      </c>
      <c r="D250" s="1" t="s">
        <v>6</v>
      </c>
      <c r="E250" s="1">
        <v>3</v>
      </c>
      <c r="F250" s="1" t="s">
        <v>1784</v>
      </c>
      <c r="G250" s="1" t="s">
        <v>1785</v>
      </c>
      <c r="H250" s="2" t="s">
        <v>2486</v>
      </c>
      <c r="I250" s="1" t="s">
        <v>4166</v>
      </c>
      <c r="J250" s="1" t="s">
        <v>4127</v>
      </c>
      <c r="K250" s="63">
        <v>29104391</v>
      </c>
      <c r="L250" s="1" t="s">
        <v>2438</v>
      </c>
      <c r="M250" s="1">
        <v>3447000</v>
      </c>
      <c r="N250" s="1" t="s">
        <v>3735</v>
      </c>
      <c r="O250" s="1" t="s">
        <v>4181</v>
      </c>
      <c r="P250" s="1">
        <v>3428</v>
      </c>
      <c r="Q250" s="64">
        <v>43073</v>
      </c>
      <c r="R250" s="64">
        <v>46724</v>
      </c>
      <c r="S250" s="62" t="s">
        <v>2440</v>
      </c>
      <c r="T250" s="29" t="s">
        <v>2441</v>
      </c>
      <c r="U250" s="9" t="s">
        <v>2444</v>
      </c>
      <c r="V250" s="1" t="s">
        <v>3646</v>
      </c>
      <c r="W250" s="1" t="s">
        <v>1786</v>
      </c>
      <c r="X250" s="1">
        <v>2866</v>
      </c>
      <c r="Y250" s="60">
        <v>93370.44</v>
      </c>
      <c r="Z250" s="60">
        <v>98394.89</v>
      </c>
      <c r="AA250" s="2" t="s">
        <v>3741</v>
      </c>
      <c r="AB250" s="66"/>
      <c r="AC250" s="66"/>
      <c r="AD250" s="2"/>
      <c r="AE250" s="2"/>
      <c r="AF250" s="2"/>
      <c r="AG250" s="66"/>
      <c r="AH250" s="43"/>
      <c r="AI250" s="43"/>
      <c r="AJ250" s="2"/>
      <c r="AK250" s="1"/>
      <c r="AL250" s="1"/>
      <c r="AM250" s="1"/>
      <c r="AN250" s="44">
        <f t="shared" si="6"/>
        <v>0</v>
      </c>
      <c r="AO250" s="45">
        <f t="shared" si="7"/>
        <v>0</v>
      </c>
      <c r="AP250" s="13" t="s">
        <v>2413</v>
      </c>
    </row>
    <row r="251" spans="1:42" ht="12.75">
      <c r="A251" s="2">
        <v>207</v>
      </c>
      <c r="B251" s="2">
        <v>214</v>
      </c>
      <c r="C251" s="1" t="s">
        <v>1769</v>
      </c>
      <c r="D251" s="1" t="s">
        <v>6</v>
      </c>
      <c r="E251" s="1">
        <v>3</v>
      </c>
      <c r="F251" s="1" t="s">
        <v>1787</v>
      </c>
      <c r="G251" s="1" t="s">
        <v>1788</v>
      </c>
      <c r="H251" s="2" t="s">
        <v>2486</v>
      </c>
      <c r="I251" s="1" t="s">
        <v>4166</v>
      </c>
      <c r="J251" s="1" t="s">
        <v>4127</v>
      </c>
      <c r="K251" s="63">
        <v>29104391</v>
      </c>
      <c r="L251" s="1" t="s">
        <v>2438</v>
      </c>
      <c r="M251" s="1">
        <v>3447000</v>
      </c>
      <c r="N251" s="1" t="s">
        <v>3735</v>
      </c>
      <c r="O251" s="1" t="s">
        <v>4181</v>
      </c>
      <c r="P251" s="1">
        <v>3428</v>
      </c>
      <c r="Q251" s="64">
        <v>43073</v>
      </c>
      <c r="R251" s="64">
        <v>46724</v>
      </c>
      <c r="S251" s="62" t="s">
        <v>2440</v>
      </c>
      <c r="T251" s="29" t="s">
        <v>2441</v>
      </c>
      <c r="U251" s="9" t="s">
        <v>2444</v>
      </c>
      <c r="V251" s="1" t="s">
        <v>3647</v>
      </c>
      <c r="W251" s="1" t="s">
        <v>1789</v>
      </c>
      <c r="X251" s="1">
        <v>2854</v>
      </c>
      <c r="Y251" s="60">
        <v>93374.12</v>
      </c>
      <c r="Z251" s="60">
        <v>98315.01</v>
      </c>
      <c r="AA251" s="2" t="s">
        <v>3741</v>
      </c>
      <c r="AB251" s="66"/>
      <c r="AC251" s="66"/>
      <c r="AD251" s="2"/>
      <c r="AE251" s="2"/>
      <c r="AF251" s="2"/>
      <c r="AG251" s="66"/>
      <c r="AH251" s="43"/>
      <c r="AI251" s="43"/>
      <c r="AJ251" s="2"/>
      <c r="AK251" s="1"/>
      <c r="AL251" s="1"/>
      <c r="AM251" s="1"/>
      <c r="AN251" s="44">
        <f t="shared" si="6"/>
        <v>0</v>
      </c>
      <c r="AO251" s="45">
        <f t="shared" si="7"/>
        <v>0</v>
      </c>
      <c r="AP251" s="13" t="s">
        <v>2413</v>
      </c>
    </row>
    <row r="252" spans="1:42" ht="39.75" customHeight="1">
      <c r="A252" s="2">
        <v>208</v>
      </c>
      <c r="B252" s="2">
        <v>215</v>
      </c>
      <c r="C252" s="1" t="s">
        <v>1769</v>
      </c>
      <c r="D252" s="1" t="s">
        <v>6</v>
      </c>
      <c r="E252" s="13">
        <v>3</v>
      </c>
      <c r="F252" s="13" t="s">
        <v>1790</v>
      </c>
      <c r="G252" s="2" t="s">
        <v>1791</v>
      </c>
      <c r="H252" s="2" t="s">
        <v>2486</v>
      </c>
      <c r="I252" s="1" t="s">
        <v>4166</v>
      </c>
      <c r="J252" s="1" t="s">
        <v>4127</v>
      </c>
      <c r="K252" s="63">
        <v>29104391</v>
      </c>
      <c r="L252" s="1" t="s">
        <v>2438</v>
      </c>
      <c r="M252" s="1">
        <v>3447000</v>
      </c>
      <c r="N252" s="1" t="s">
        <v>3735</v>
      </c>
      <c r="O252" s="1" t="s">
        <v>4181</v>
      </c>
      <c r="P252" s="1">
        <v>3428</v>
      </c>
      <c r="Q252" s="64">
        <v>43073</v>
      </c>
      <c r="R252" s="64">
        <v>46724</v>
      </c>
      <c r="S252" s="62" t="s">
        <v>2440</v>
      </c>
      <c r="T252" s="29" t="s">
        <v>2442</v>
      </c>
      <c r="U252" s="9" t="s">
        <v>2444</v>
      </c>
      <c r="V252" s="23" t="s">
        <v>3648</v>
      </c>
      <c r="W252" s="23" t="s">
        <v>1792</v>
      </c>
      <c r="X252" s="23">
        <v>2822</v>
      </c>
      <c r="Y252" s="60">
        <v>93434.03</v>
      </c>
      <c r="Z252" s="60">
        <v>98167.3</v>
      </c>
      <c r="AA252" s="2" t="s">
        <v>3868</v>
      </c>
      <c r="AB252" s="94">
        <v>43754</v>
      </c>
      <c r="AC252" s="50">
        <v>0.5215277777777778</v>
      </c>
      <c r="AD252" s="93"/>
      <c r="AE252" s="93"/>
      <c r="AF252" s="93"/>
      <c r="AG252" s="93"/>
      <c r="AH252" s="93"/>
      <c r="AI252" s="93"/>
      <c r="AJ252" s="93"/>
      <c r="AK252" s="93"/>
      <c r="AL252" s="93"/>
      <c r="AM252" s="93"/>
      <c r="AN252" s="117">
        <v>56679.82113621019</v>
      </c>
      <c r="AO252" s="118">
        <v>47569.42326037793</v>
      </c>
      <c r="AP252" s="13" t="s">
        <v>2413</v>
      </c>
    </row>
    <row r="253" spans="1:42" ht="12.75" customHeight="1">
      <c r="A253" s="2"/>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19">
        <f>AN224+AN225+AN228+AN233+AN234+AN235+AN237+AN238+AN239+AN240+AN241+AN244+AN252</f>
        <v>220353.71943102934</v>
      </c>
      <c r="AO253" s="119">
        <f>AO224+AO225+AO228+AO233+AO234+AO235+AO237+AO238+AO239+AO240+AO241+AO244+AO252</f>
        <v>205221.27875002046</v>
      </c>
      <c r="AP253" s="66"/>
    </row>
    <row r="254" spans="1:42" ht="12.75">
      <c r="A254" s="2"/>
      <c r="B254" s="227" t="s">
        <v>2554</v>
      </c>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c r="Y254" s="227"/>
      <c r="Z254" s="227"/>
      <c r="AA254" s="227"/>
      <c r="AB254" s="227"/>
      <c r="AC254" s="227"/>
      <c r="AD254" s="227"/>
      <c r="AE254" s="227"/>
      <c r="AF254" s="227"/>
      <c r="AG254" s="227"/>
      <c r="AH254" s="227"/>
      <c r="AI254" s="227"/>
      <c r="AJ254" s="227"/>
      <c r="AK254" s="227"/>
      <c r="AL254" s="227"/>
      <c r="AM254" s="227"/>
      <c r="AN254" s="73">
        <f>SUM(AN224:AN252)-AN242-AN243</f>
        <v>220353.71943102934</v>
      </c>
      <c r="AO254" s="73">
        <f>SUM(AO224:AO252)-AO242-AO243</f>
        <v>205221.27875002046</v>
      </c>
      <c r="AP254" s="66"/>
    </row>
    <row r="255" spans="1:42" ht="12.75">
      <c r="A255" s="2">
        <v>209</v>
      </c>
      <c r="B255" s="2">
        <v>216</v>
      </c>
      <c r="C255" s="2" t="s">
        <v>79</v>
      </c>
      <c r="D255" s="2" t="s">
        <v>6</v>
      </c>
      <c r="E255" s="2">
        <v>3</v>
      </c>
      <c r="F255" s="2" t="s">
        <v>1640</v>
      </c>
      <c r="G255" s="2" t="s">
        <v>2021</v>
      </c>
      <c r="H255" s="2" t="s">
        <v>2510</v>
      </c>
      <c r="I255" s="1" t="s">
        <v>4166</v>
      </c>
      <c r="J255" s="1" t="s">
        <v>4127</v>
      </c>
      <c r="K255" s="63">
        <v>29104391</v>
      </c>
      <c r="L255" s="1" t="s">
        <v>2438</v>
      </c>
      <c r="M255" s="1">
        <v>3447000</v>
      </c>
      <c r="N255" s="1" t="s">
        <v>3735</v>
      </c>
      <c r="O255" s="1" t="s">
        <v>4181</v>
      </c>
      <c r="P255" s="1">
        <v>3428</v>
      </c>
      <c r="Q255" s="64">
        <v>43073</v>
      </c>
      <c r="R255" s="64">
        <v>46724</v>
      </c>
      <c r="S255" s="62" t="s">
        <v>2440</v>
      </c>
      <c r="T255" s="29" t="s">
        <v>2441</v>
      </c>
      <c r="U255" s="24" t="s">
        <v>2436</v>
      </c>
      <c r="V255" s="23" t="s">
        <v>3649</v>
      </c>
      <c r="W255" s="23" t="s">
        <v>3650</v>
      </c>
      <c r="X255" s="23">
        <v>2834</v>
      </c>
      <c r="Y255" s="60">
        <v>93894.74</v>
      </c>
      <c r="Z255" s="60">
        <v>90862.79</v>
      </c>
      <c r="AA255" s="2" t="s">
        <v>3741</v>
      </c>
      <c r="AB255" s="66"/>
      <c r="AC255" s="66"/>
      <c r="AD255" s="2"/>
      <c r="AE255" s="2"/>
      <c r="AF255" s="2"/>
      <c r="AG255" s="66"/>
      <c r="AH255" s="43"/>
      <c r="AI255" s="43"/>
      <c r="AJ255" s="2"/>
      <c r="AK255" s="1"/>
      <c r="AL255" s="1"/>
      <c r="AM255" s="1"/>
      <c r="AN255" s="44">
        <f t="shared" si="6"/>
        <v>0</v>
      </c>
      <c r="AO255" s="45">
        <f t="shared" si="7"/>
        <v>0</v>
      </c>
      <c r="AP255" s="13" t="s">
        <v>2413</v>
      </c>
    </row>
    <row r="256" spans="1:42" ht="12.75">
      <c r="A256" s="2">
        <v>210</v>
      </c>
      <c r="B256" s="2">
        <v>217</v>
      </c>
      <c r="C256" s="2" t="s">
        <v>79</v>
      </c>
      <c r="D256" s="2" t="s">
        <v>6</v>
      </c>
      <c r="E256" s="2">
        <v>3</v>
      </c>
      <c r="F256" s="2" t="s">
        <v>1641</v>
      </c>
      <c r="G256" s="2" t="s">
        <v>2022</v>
      </c>
      <c r="H256" s="2" t="s">
        <v>2510</v>
      </c>
      <c r="I256" s="1" t="s">
        <v>4166</v>
      </c>
      <c r="J256" s="1" t="s">
        <v>4127</v>
      </c>
      <c r="K256" s="63">
        <v>29104391</v>
      </c>
      <c r="L256" s="1" t="s">
        <v>2438</v>
      </c>
      <c r="M256" s="1">
        <v>3447000</v>
      </c>
      <c r="N256" s="1" t="s">
        <v>3735</v>
      </c>
      <c r="O256" s="1" t="s">
        <v>4181</v>
      </c>
      <c r="P256" s="1">
        <v>3428</v>
      </c>
      <c r="Q256" s="64">
        <v>43073</v>
      </c>
      <c r="R256" s="64">
        <v>46724</v>
      </c>
      <c r="S256" s="62" t="s">
        <v>2440</v>
      </c>
      <c r="T256" s="29" t="s">
        <v>2442</v>
      </c>
      <c r="U256" s="24" t="s">
        <v>2436</v>
      </c>
      <c r="V256" s="23" t="s">
        <v>3651</v>
      </c>
      <c r="W256" s="23" t="s">
        <v>3652</v>
      </c>
      <c r="X256" s="23">
        <v>2828</v>
      </c>
      <c r="Y256" s="60">
        <v>93975.04</v>
      </c>
      <c r="Z256" s="60">
        <v>90896.34</v>
      </c>
      <c r="AA256" s="2" t="s">
        <v>3741</v>
      </c>
      <c r="AB256" s="66"/>
      <c r="AC256" s="66"/>
      <c r="AD256" s="2"/>
      <c r="AE256" s="2"/>
      <c r="AF256" s="2"/>
      <c r="AG256" s="66"/>
      <c r="AH256" s="43"/>
      <c r="AI256" s="43"/>
      <c r="AJ256" s="2"/>
      <c r="AK256" s="1"/>
      <c r="AL256" s="1"/>
      <c r="AM256" s="1"/>
      <c r="AN256" s="44">
        <f t="shared" si="6"/>
        <v>0</v>
      </c>
      <c r="AO256" s="45">
        <f t="shared" si="7"/>
        <v>0</v>
      </c>
      <c r="AP256" s="13" t="s">
        <v>2413</v>
      </c>
    </row>
    <row r="257" spans="1:42" ht="12.75">
      <c r="A257" s="2">
        <v>211</v>
      </c>
      <c r="B257" s="2">
        <v>218</v>
      </c>
      <c r="C257" s="2" t="s">
        <v>79</v>
      </c>
      <c r="D257" s="2" t="s">
        <v>6</v>
      </c>
      <c r="E257" s="2">
        <v>3</v>
      </c>
      <c r="F257" s="2" t="s">
        <v>1642</v>
      </c>
      <c r="G257" s="2" t="s">
        <v>2022</v>
      </c>
      <c r="H257" s="2" t="s">
        <v>2510</v>
      </c>
      <c r="I257" s="1" t="s">
        <v>4166</v>
      </c>
      <c r="J257" s="1" t="s">
        <v>4127</v>
      </c>
      <c r="K257" s="63">
        <v>29104391</v>
      </c>
      <c r="L257" s="1" t="s">
        <v>2438</v>
      </c>
      <c r="M257" s="1">
        <v>3447000</v>
      </c>
      <c r="N257" s="1" t="s">
        <v>3735</v>
      </c>
      <c r="O257" s="1" t="s">
        <v>4181</v>
      </c>
      <c r="P257" s="1">
        <v>3428</v>
      </c>
      <c r="Q257" s="64">
        <v>43073</v>
      </c>
      <c r="R257" s="64">
        <v>46724</v>
      </c>
      <c r="S257" s="62" t="s">
        <v>2440</v>
      </c>
      <c r="T257" s="29" t="s">
        <v>2441</v>
      </c>
      <c r="U257" s="24" t="s">
        <v>2436</v>
      </c>
      <c r="V257" s="23" t="s">
        <v>3653</v>
      </c>
      <c r="W257" s="23" t="s">
        <v>3654</v>
      </c>
      <c r="X257" s="23">
        <v>2825</v>
      </c>
      <c r="Y257" s="60">
        <v>93999.88</v>
      </c>
      <c r="Z257" s="60">
        <v>90913.29</v>
      </c>
      <c r="AA257" s="2" t="s">
        <v>3741</v>
      </c>
      <c r="AB257" s="66"/>
      <c r="AC257" s="66"/>
      <c r="AD257" s="2"/>
      <c r="AE257" s="2"/>
      <c r="AF257" s="2"/>
      <c r="AG257" s="66"/>
      <c r="AH257" s="43"/>
      <c r="AI257" s="43"/>
      <c r="AJ257" s="2"/>
      <c r="AK257" s="1"/>
      <c r="AL257" s="1"/>
      <c r="AM257" s="1"/>
      <c r="AN257" s="44">
        <f t="shared" si="6"/>
        <v>0</v>
      </c>
      <c r="AO257" s="45">
        <f t="shared" si="7"/>
        <v>0</v>
      </c>
      <c r="AP257" s="13" t="s">
        <v>2413</v>
      </c>
    </row>
    <row r="258" spans="1:42" ht="12.75">
      <c r="A258" s="2">
        <v>212</v>
      </c>
      <c r="B258" s="2">
        <v>219</v>
      </c>
      <c r="C258" s="2" t="s">
        <v>79</v>
      </c>
      <c r="D258" s="2" t="s">
        <v>6</v>
      </c>
      <c r="E258" s="2">
        <v>3</v>
      </c>
      <c r="F258" s="2" t="s">
        <v>1643</v>
      </c>
      <c r="G258" s="2" t="s">
        <v>2022</v>
      </c>
      <c r="H258" s="2" t="s">
        <v>2510</v>
      </c>
      <c r="I258" s="1" t="s">
        <v>4166</v>
      </c>
      <c r="J258" s="1" t="s">
        <v>4127</v>
      </c>
      <c r="K258" s="63">
        <v>29104391</v>
      </c>
      <c r="L258" s="1" t="s">
        <v>2438</v>
      </c>
      <c r="M258" s="1">
        <v>3447000</v>
      </c>
      <c r="N258" s="1" t="s">
        <v>3735</v>
      </c>
      <c r="O258" s="1" t="s">
        <v>4181</v>
      </c>
      <c r="P258" s="1">
        <v>3428</v>
      </c>
      <c r="Q258" s="64">
        <v>43073</v>
      </c>
      <c r="R258" s="64">
        <v>46724</v>
      </c>
      <c r="S258" s="62" t="s">
        <v>2440</v>
      </c>
      <c r="T258" s="29" t="s">
        <v>2441</v>
      </c>
      <c r="U258" s="24" t="s">
        <v>2436</v>
      </c>
      <c r="V258" s="23" t="s">
        <v>3655</v>
      </c>
      <c r="W258" s="23" t="s">
        <v>3656</v>
      </c>
      <c r="X258" s="23">
        <v>2818</v>
      </c>
      <c r="Y258" s="60">
        <v>94042.23</v>
      </c>
      <c r="Z258" s="60">
        <v>90960.24</v>
      </c>
      <c r="AA258" s="2" t="s">
        <v>3741</v>
      </c>
      <c r="AB258" s="66"/>
      <c r="AC258" s="66"/>
      <c r="AD258" s="2"/>
      <c r="AE258" s="2"/>
      <c r="AF258" s="2"/>
      <c r="AG258" s="66"/>
      <c r="AH258" s="43"/>
      <c r="AI258" s="43"/>
      <c r="AJ258" s="2"/>
      <c r="AK258" s="1"/>
      <c r="AL258" s="1"/>
      <c r="AM258" s="1"/>
      <c r="AN258" s="44">
        <f t="shared" si="6"/>
        <v>0</v>
      </c>
      <c r="AO258" s="45">
        <f t="shared" si="7"/>
        <v>0</v>
      </c>
      <c r="AP258" s="13" t="s">
        <v>2413</v>
      </c>
    </row>
    <row r="259" spans="1:42" ht="12.75">
      <c r="A259" s="2">
        <v>213</v>
      </c>
      <c r="B259" s="2">
        <v>220</v>
      </c>
      <c r="C259" s="2" t="s">
        <v>79</v>
      </c>
      <c r="D259" s="2" t="s">
        <v>6</v>
      </c>
      <c r="E259" s="2">
        <v>3</v>
      </c>
      <c r="F259" s="2" t="s">
        <v>1644</v>
      </c>
      <c r="G259" s="2" t="s">
        <v>1645</v>
      </c>
      <c r="H259" s="2" t="s">
        <v>2510</v>
      </c>
      <c r="I259" s="1" t="s">
        <v>4166</v>
      </c>
      <c r="J259" s="1" t="s">
        <v>4127</v>
      </c>
      <c r="K259" s="63">
        <v>29104391</v>
      </c>
      <c r="L259" s="1" t="s">
        <v>2438</v>
      </c>
      <c r="M259" s="1">
        <v>3447000</v>
      </c>
      <c r="N259" s="1" t="s">
        <v>3735</v>
      </c>
      <c r="O259" s="1" t="s">
        <v>4181</v>
      </c>
      <c r="P259" s="1">
        <v>3428</v>
      </c>
      <c r="Q259" s="64">
        <v>43073</v>
      </c>
      <c r="R259" s="64">
        <v>46724</v>
      </c>
      <c r="S259" s="62" t="s">
        <v>2440</v>
      </c>
      <c r="T259" s="29" t="s">
        <v>2441</v>
      </c>
      <c r="U259" s="24" t="s">
        <v>2436</v>
      </c>
      <c r="V259" s="23" t="s">
        <v>3657</v>
      </c>
      <c r="W259" s="23" t="s">
        <v>3658</v>
      </c>
      <c r="X259" s="23">
        <v>2809</v>
      </c>
      <c r="Y259" s="60">
        <v>94261.06</v>
      </c>
      <c r="Z259" s="60">
        <v>91040.92</v>
      </c>
      <c r="AA259" s="2" t="s">
        <v>3741</v>
      </c>
      <c r="AB259" s="66"/>
      <c r="AC259" s="66"/>
      <c r="AD259" s="2"/>
      <c r="AE259" s="2"/>
      <c r="AF259" s="2"/>
      <c r="AG259" s="66"/>
      <c r="AH259" s="43"/>
      <c r="AI259" s="43"/>
      <c r="AJ259" s="2"/>
      <c r="AK259" s="1"/>
      <c r="AL259" s="1"/>
      <c r="AM259" s="1"/>
      <c r="AN259" s="44">
        <f t="shared" si="6"/>
        <v>0</v>
      </c>
      <c r="AO259" s="45">
        <f t="shared" si="7"/>
        <v>0</v>
      </c>
      <c r="AP259" s="13" t="s">
        <v>2413</v>
      </c>
    </row>
    <row r="260" spans="1:42" ht="61.5" customHeight="1">
      <c r="A260" s="2">
        <v>214</v>
      </c>
      <c r="B260" s="2">
        <v>221</v>
      </c>
      <c r="C260" s="1" t="s">
        <v>79</v>
      </c>
      <c r="D260" s="1" t="s">
        <v>6</v>
      </c>
      <c r="E260" s="13">
        <v>3</v>
      </c>
      <c r="F260" s="13" t="s">
        <v>1646</v>
      </c>
      <c r="G260" s="2" t="s">
        <v>1647</v>
      </c>
      <c r="H260" s="2" t="s">
        <v>2510</v>
      </c>
      <c r="I260" s="1" t="s">
        <v>4166</v>
      </c>
      <c r="J260" s="1" t="s">
        <v>4127</v>
      </c>
      <c r="K260" s="63">
        <v>29104391</v>
      </c>
      <c r="L260" s="1" t="s">
        <v>2438</v>
      </c>
      <c r="M260" s="1">
        <v>3447000</v>
      </c>
      <c r="N260" s="1" t="s">
        <v>3735</v>
      </c>
      <c r="O260" s="1" t="s">
        <v>4181</v>
      </c>
      <c r="P260" s="1">
        <v>3428</v>
      </c>
      <c r="Q260" s="64">
        <v>43073</v>
      </c>
      <c r="R260" s="64">
        <v>46724</v>
      </c>
      <c r="S260" s="62" t="s">
        <v>2440</v>
      </c>
      <c r="T260" s="29" t="s">
        <v>2442</v>
      </c>
      <c r="U260" s="2" t="s">
        <v>2443</v>
      </c>
      <c r="V260" s="23" t="s">
        <v>3659</v>
      </c>
      <c r="W260" s="23" t="s">
        <v>3660</v>
      </c>
      <c r="X260" s="23">
        <v>2802</v>
      </c>
      <c r="Y260" s="60">
        <v>94394.73</v>
      </c>
      <c r="Z260" s="60">
        <v>91020.88</v>
      </c>
      <c r="AA260" s="2" t="s">
        <v>4121</v>
      </c>
      <c r="AB260" s="104">
        <v>43719</v>
      </c>
      <c r="AC260" s="82" t="s">
        <v>3869</v>
      </c>
      <c r="AD260" s="2">
        <v>310</v>
      </c>
      <c r="AE260" s="2">
        <v>290</v>
      </c>
      <c r="AF260" s="2">
        <v>8.09</v>
      </c>
      <c r="AG260" s="82">
        <v>24</v>
      </c>
      <c r="AH260" s="43">
        <f>AF260*AD260*AG260*0.0036</f>
        <v>216.68256000000002</v>
      </c>
      <c r="AI260" s="43">
        <f>AF260*AE260*AG260*0.0036</f>
        <v>202.70304</v>
      </c>
      <c r="AJ260" s="2">
        <v>30</v>
      </c>
      <c r="AK260" s="1">
        <v>12</v>
      </c>
      <c r="AL260" s="1">
        <v>0.82</v>
      </c>
      <c r="AM260" s="1">
        <v>0.8</v>
      </c>
      <c r="AN260" s="117">
        <f>AH260*AJ260*AK260*AL260</f>
        <v>63964.691712</v>
      </c>
      <c r="AO260" s="118">
        <f>AI260*AJ260*AK260*AM260</f>
        <v>58378.47552000001</v>
      </c>
      <c r="AP260" s="13" t="s">
        <v>2413</v>
      </c>
    </row>
    <row r="261" spans="1:42" ht="60.75" customHeight="1">
      <c r="A261" s="2">
        <v>215</v>
      </c>
      <c r="B261" s="2">
        <v>222</v>
      </c>
      <c r="C261" s="1" t="s">
        <v>79</v>
      </c>
      <c r="D261" s="1" t="s">
        <v>6</v>
      </c>
      <c r="E261" s="13">
        <v>3</v>
      </c>
      <c r="F261" s="13" t="s">
        <v>1648</v>
      </c>
      <c r="G261" s="2" t="s">
        <v>1647</v>
      </c>
      <c r="H261" s="2" t="s">
        <v>2510</v>
      </c>
      <c r="I261" s="1" t="s">
        <v>4166</v>
      </c>
      <c r="J261" s="1" t="s">
        <v>4127</v>
      </c>
      <c r="K261" s="63">
        <v>29104391</v>
      </c>
      <c r="L261" s="1" t="s">
        <v>2438</v>
      </c>
      <c r="M261" s="1">
        <v>3447000</v>
      </c>
      <c r="N261" s="1" t="s">
        <v>3735</v>
      </c>
      <c r="O261" s="1" t="s">
        <v>4181</v>
      </c>
      <c r="P261" s="1">
        <v>3428</v>
      </c>
      <c r="Q261" s="64">
        <v>43073</v>
      </c>
      <c r="R261" s="64">
        <v>46724</v>
      </c>
      <c r="S261" s="62" t="s">
        <v>2440</v>
      </c>
      <c r="T261" s="29" t="s">
        <v>2442</v>
      </c>
      <c r="U261" s="2" t="s">
        <v>2443</v>
      </c>
      <c r="V261" s="23" t="s">
        <v>3661</v>
      </c>
      <c r="W261" s="23" t="s">
        <v>3662</v>
      </c>
      <c r="X261" s="23">
        <v>2801</v>
      </c>
      <c r="Y261" s="60">
        <v>94402.11</v>
      </c>
      <c r="Z261" s="60">
        <v>91024.27</v>
      </c>
      <c r="AA261" s="2" t="s">
        <v>4122</v>
      </c>
      <c r="AB261" s="104">
        <v>43719</v>
      </c>
      <c r="AC261" s="82" t="s">
        <v>3870</v>
      </c>
      <c r="AD261" s="2">
        <v>206</v>
      </c>
      <c r="AE261" s="2">
        <v>140</v>
      </c>
      <c r="AF261" s="2">
        <v>0.79</v>
      </c>
      <c r="AG261" s="82">
        <v>24</v>
      </c>
      <c r="AH261" s="43">
        <f>AF261*AD261*AG261*0.0036</f>
        <v>14.060736</v>
      </c>
      <c r="AI261" s="43">
        <f>AF261*AE261*AG261*0.0036</f>
        <v>9.55584</v>
      </c>
      <c r="AJ261" s="2">
        <v>30</v>
      </c>
      <c r="AK261" s="1">
        <v>12</v>
      </c>
      <c r="AL261" s="1">
        <v>0.73</v>
      </c>
      <c r="AM261" s="1">
        <v>0.73</v>
      </c>
      <c r="AN261" s="117">
        <f>AH261*AJ261*AK261*AL261</f>
        <v>3695.1614208000005</v>
      </c>
      <c r="AO261" s="118">
        <f>AI261*AJ261*AK261*AM261</f>
        <v>2511.2747520000003</v>
      </c>
      <c r="AP261" s="13" t="s">
        <v>2413</v>
      </c>
    </row>
    <row r="262" spans="1:42" ht="57.75" customHeight="1">
      <c r="A262" s="2">
        <v>216</v>
      </c>
      <c r="B262" s="2">
        <v>223</v>
      </c>
      <c r="C262" s="2" t="s">
        <v>79</v>
      </c>
      <c r="D262" s="2" t="s">
        <v>6</v>
      </c>
      <c r="E262" s="2">
        <v>3</v>
      </c>
      <c r="F262" s="2" t="s">
        <v>1649</v>
      </c>
      <c r="G262" s="2" t="s">
        <v>1650</v>
      </c>
      <c r="H262" s="2" t="s">
        <v>2510</v>
      </c>
      <c r="I262" s="1" t="s">
        <v>4166</v>
      </c>
      <c r="J262" s="1" t="s">
        <v>4127</v>
      </c>
      <c r="K262" s="63">
        <v>29104391</v>
      </c>
      <c r="L262" s="1" t="s">
        <v>2438</v>
      </c>
      <c r="M262" s="1">
        <v>3447000</v>
      </c>
      <c r="N262" s="1" t="s">
        <v>3735</v>
      </c>
      <c r="O262" s="1" t="s">
        <v>4181</v>
      </c>
      <c r="P262" s="1">
        <v>3428</v>
      </c>
      <c r="Q262" s="64">
        <v>43073</v>
      </c>
      <c r="R262" s="64">
        <v>46724</v>
      </c>
      <c r="S262" s="62" t="s">
        <v>2440</v>
      </c>
      <c r="T262" s="29" t="s">
        <v>2442</v>
      </c>
      <c r="U262" s="2" t="s">
        <v>2444</v>
      </c>
      <c r="V262" s="23" t="s">
        <v>3663</v>
      </c>
      <c r="W262" s="23" t="s">
        <v>3664</v>
      </c>
      <c r="X262" s="23">
        <v>2799</v>
      </c>
      <c r="Y262" s="60">
        <v>94466.95</v>
      </c>
      <c r="Z262" s="60">
        <v>91012.86</v>
      </c>
      <c r="AA262" s="2" t="s">
        <v>3871</v>
      </c>
      <c r="AB262" s="94">
        <v>43732</v>
      </c>
      <c r="AC262" s="136">
        <v>0.5208333333333334</v>
      </c>
      <c r="AD262" s="2"/>
      <c r="AE262" s="2"/>
      <c r="AF262" s="2"/>
      <c r="AG262" s="69"/>
      <c r="AH262" s="43"/>
      <c r="AI262" s="43"/>
      <c r="AJ262" s="2"/>
      <c r="AK262" s="1"/>
      <c r="AL262" s="1"/>
      <c r="AM262" s="1"/>
      <c r="AN262" s="44">
        <f t="shared" si="6"/>
        <v>0</v>
      </c>
      <c r="AO262" s="45">
        <f t="shared" si="7"/>
        <v>0</v>
      </c>
      <c r="AP262" s="13"/>
    </row>
    <row r="263" spans="1:42" ht="57.75" customHeight="1">
      <c r="A263" s="2"/>
      <c r="B263" s="2">
        <v>224</v>
      </c>
      <c r="C263" s="2" t="s">
        <v>79</v>
      </c>
      <c r="D263" s="2" t="s">
        <v>6</v>
      </c>
      <c r="E263" s="2">
        <v>3</v>
      </c>
      <c r="F263" s="2" t="s">
        <v>3874</v>
      </c>
      <c r="G263" s="2" t="s">
        <v>3875</v>
      </c>
      <c r="H263" s="2" t="s">
        <v>2510</v>
      </c>
      <c r="I263" s="1" t="s">
        <v>4166</v>
      </c>
      <c r="J263" s="1" t="s">
        <v>4127</v>
      </c>
      <c r="K263" s="63">
        <v>29104391</v>
      </c>
      <c r="L263" s="1" t="s">
        <v>2438</v>
      </c>
      <c r="M263" s="1">
        <v>3447000</v>
      </c>
      <c r="N263" s="1" t="s">
        <v>3735</v>
      </c>
      <c r="O263" s="1" t="s">
        <v>4181</v>
      </c>
      <c r="P263" s="1">
        <v>3428</v>
      </c>
      <c r="Q263" s="64">
        <v>43073</v>
      </c>
      <c r="R263" s="64">
        <v>46724</v>
      </c>
      <c r="S263" s="62" t="s">
        <v>2440</v>
      </c>
      <c r="T263" s="29" t="s">
        <v>2441</v>
      </c>
      <c r="U263" s="2" t="s">
        <v>2444</v>
      </c>
      <c r="V263" s="23" t="s">
        <v>3872</v>
      </c>
      <c r="W263" s="23" t="s">
        <v>3873</v>
      </c>
      <c r="X263" s="23">
        <v>2799</v>
      </c>
      <c r="Y263" s="60"/>
      <c r="Z263" s="60"/>
      <c r="AA263" s="2" t="s">
        <v>4123</v>
      </c>
      <c r="AB263" s="94">
        <v>43719</v>
      </c>
      <c r="AC263" s="136" t="s">
        <v>3876</v>
      </c>
      <c r="AD263" s="2">
        <v>152</v>
      </c>
      <c r="AE263" s="2">
        <v>180</v>
      </c>
      <c r="AF263" s="2">
        <v>3.11</v>
      </c>
      <c r="AG263" s="69">
        <v>24</v>
      </c>
      <c r="AH263" s="102">
        <f>AF263*AD263*AG263*0.0036</f>
        <v>40.843008</v>
      </c>
      <c r="AI263" s="102">
        <f>AF263*AE263*AG263*0.0036</f>
        <v>48.366719999999994</v>
      </c>
      <c r="AJ263" s="2">
        <v>30</v>
      </c>
      <c r="AK263" s="1">
        <v>12</v>
      </c>
      <c r="AL263" s="1">
        <v>0.56</v>
      </c>
      <c r="AM263" s="1">
        <v>0.62</v>
      </c>
      <c r="AN263" s="44">
        <f>AH263*AJ263*AK263*AL263</f>
        <v>8233.950412799999</v>
      </c>
      <c r="AO263" s="45">
        <f>AI263*AJ263*AK263*AM263</f>
        <v>10795.451904</v>
      </c>
      <c r="AP263" s="13" t="s">
        <v>2413</v>
      </c>
    </row>
    <row r="264" spans="1:42" ht="59.25" customHeight="1">
      <c r="A264" s="2">
        <v>217</v>
      </c>
      <c r="B264" s="2">
        <v>225</v>
      </c>
      <c r="C264" s="1" t="s">
        <v>79</v>
      </c>
      <c r="D264" s="1" t="s">
        <v>6</v>
      </c>
      <c r="E264" s="13">
        <v>3</v>
      </c>
      <c r="F264" s="13" t="s">
        <v>1651</v>
      </c>
      <c r="G264" s="2" t="s">
        <v>1652</v>
      </c>
      <c r="H264" s="2" t="s">
        <v>2510</v>
      </c>
      <c r="I264" s="1" t="s">
        <v>4166</v>
      </c>
      <c r="J264" s="1" t="s">
        <v>4127</v>
      </c>
      <c r="K264" s="63">
        <v>29104391</v>
      </c>
      <c r="L264" s="1" t="s">
        <v>2438</v>
      </c>
      <c r="M264" s="1">
        <v>3447000</v>
      </c>
      <c r="N264" s="1" t="s">
        <v>3735</v>
      </c>
      <c r="O264" s="1" t="s">
        <v>4181</v>
      </c>
      <c r="P264" s="1">
        <v>3428</v>
      </c>
      <c r="Q264" s="64">
        <v>43073</v>
      </c>
      <c r="R264" s="64">
        <v>46724</v>
      </c>
      <c r="S264" s="62" t="s">
        <v>2440</v>
      </c>
      <c r="T264" s="29" t="s">
        <v>2441</v>
      </c>
      <c r="U264" s="2" t="s">
        <v>2444</v>
      </c>
      <c r="V264" s="23" t="s">
        <v>3665</v>
      </c>
      <c r="W264" s="23" t="s">
        <v>3666</v>
      </c>
      <c r="X264" s="23">
        <v>2796</v>
      </c>
      <c r="Y264" s="60">
        <v>94487.54</v>
      </c>
      <c r="Z264" s="60">
        <v>91023.65</v>
      </c>
      <c r="AA264" s="2" t="s">
        <v>4124</v>
      </c>
      <c r="AB264" s="104">
        <v>43719</v>
      </c>
      <c r="AC264" s="82" t="s">
        <v>3791</v>
      </c>
      <c r="AD264" s="2">
        <v>32.6</v>
      </c>
      <c r="AE264" s="2">
        <v>32.3</v>
      </c>
      <c r="AF264" s="2">
        <v>2.07</v>
      </c>
      <c r="AG264" s="69">
        <v>24</v>
      </c>
      <c r="AH264" s="43">
        <f>AF264*AD264*AG264*0.0036</f>
        <v>5.8304447999999995</v>
      </c>
      <c r="AI264" s="43">
        <f>AF264*AE264*AG264*0.0036</f>
        <v>5.7767903999999985</v>
      </c>
      <c r="AJ264" s="2">
        <v>30</v>
      </c>
      <c r="AK264" s="1">
        <v>12</v>
      </c>
      <c r="AL264" s="1">
        <v>0.73</v>
      </c>
      <c r="AM264" s="1">
        <v>0.73</v>
      </c>
      <c r="AN264" s="117">
        <f t="shared" si="6"/>
        <v>1532.2408934399998</v>
      </c>
      <c r="AO264" s="118">
        <f t="shared" si="7"/>
        <v>1518.1405171199997</v>
      </c>
      <c r="AP264" s="13" t="s">
        <v>2413</v>
      </c>
    </row>
    <row r="265" spans="1:42" ht="25.5">
      <c r="A265" s="2">
        <v>218</v>
      </c>
      <c r="B265" s="2">
        <v>226</v>
      </c>
      <c r="C265" s="2" t="s">
        <v>1653</v>
      </c>
      <c r="D265" s="1" t="s">
        <v>6</v>
      </c>
      <c r="E265" s="1">
        <v>3</v>
      </c>
      <c r="F265" s="1" t="s">
        <v>1654</v>
      </c>
      <c r="G265" s="1" t="s">
        <v>1655</v>
      </c>
      <c r="H265" s="2" t="s">
        <v>2510</v>
      </c>
      <c r="I265" s="1" t="s">
        <v>4166</v>
      </c>
      <c r="J265" s="1" t="s">
        <v>4127</v>
      </c>
      <c r="K265" s="63">
        <v>29104391</v>
      </c>
      <c r="L265" s="1" t="s">
        <v>2438</v>
      </c>
      <c r="M265" s="1">
        <v>3447000</v>
      </c>
      <c r="N265" s="1" t="s">
        <v>3735</v>
      </c>
      <c r="O265" s="1" t="s">
        <v>4181</v>
      </c>
      <c r="P265" s="1">
        <v>3428</v>
      </c>
      <c r="Q265" s="64">
        <v>43073</v>
      </c>
      <c r="R265" s="64">
        <v>46724</v>
      </c>
      <c r="S265" s="62" t="s">
        <v>2440</v>
      </c>
      <c r="T265" s="29" t="s">
        <v>2442</v>
      </c>
      <c r="U265" s="9" t="s">
        <v>2444</v>
      </c>
      <c r="V265" s="1" t="s">
        <v>3667</v>
      </c>
      <c r="W265" s="1" t="s">
        <v>3668</v>
      </c>
      <c r="X265" s="23">
        <v>2794</v>
      </c>
      <c r="Y265" s="60">
        <v>94560.064</v>
      </c>
      <c r="Z265" s="60">
        <v>91041.853</v>
      </c>
      <c r="AA265" s="2" t="s">
        <v>3741</v>
      </c>
      <c r="AB265" s="66"/>
      <c r="AC265" s="66"/>
      <c r="AD265" s="2"/>
      <c r="AE265" s="2"/>
      <c r="AF265" s="2"/>
      <c r="AG265" s="66"/>
      <c r="AH265" s="43"/>
      <c r="AI265" s="43"/>
      <c r="AJ265" s="2"/>
      <c r="AK265" s="1"/>
      <c r="AL265" s="1"/>
      <c r="AM265" s="1"/>
      <c r="AN265" s="44">
        <f t="shared" si="6"/>
        <v>0</v>
      </c>
      <c r="AO265" s="45">
        <f t="shared" si="7"/>
        <v>0</v>
      </c>
      <c r="AP265" s="66"/>
    </row>
    <row r="266" spans="1:42" ht="12.75">
      <c r="A266" s="2">
        <v>219</v>
      </c>
      <c r="B266" s="2">
        <v>227</v>
      </c>
      <c r="C266" s="2" t="s">
        <v>79</v>
      </c>
      <c r="D266" s="1" t="s">
        <v>6</v>
      </c>
      <c r="E266" s="1">
        <v>3</v>
      </c>
      <c r="F266" s="1" t="s">
        <v>1656</v>
      </c>
      <c r="G266" s="1" t="s">
        <v>1657</v>
      </c>
      <c r="H266" s="2" t="s">
        <v>2510</v>
      </c>
      <c r="I266" s="1" t="s">
        <v>4166</v>
      </c>
      <c r="J266" s="1" t="s">
        <v>4127</v>
      </c>
      <c r="K266" s="63">
        <v>29104391</v>
      </c>
      <c r="L266" s="1" t="s">
        <v>2438</v>
      </c>
      <c r="M266" s="1">
        <v>3447000</v>
      </c>
      <c r="N266" s="1" t="s">
        <v>3735</v>
      </c>
      <c r="O266" s="1" t="s">
        <v>4181</v>
      </c>
      <c r="P266" s="1">
        <v>3428</v>
      </c>
      <c r="Q266" s="64">
        <v>43073</v>
      </c>
      <c r="R266" s="64">
        <v>46724</v>
      </c>
      <c r="S266" s="62" t="s">
        <v>2440</v>
      </c>
      <c r="T266" s="29" t="s">
        <v>2441</v>
      </c>
      <c r="U266" s="2" t="s">
        <v>2444</v>
      </c>
      <c r="V266" s="1" t="s">
        <v>3669</v>
      </c>
      <c r="W266" s="1" t="s">
        <v>3670</v>
      </c>
      <c r="X266" s="1">
        <v>2658</v>
      </c>
      <c r="Y266" s="60">
        <v>95259.15</v>
      </c>
      <c r="Z266" s="60">
        <v>91541.12</v>
      </c>
      <c r="AA266" s="2" t="s">
        <v>3741</v>
      </c>
      <c r="AB266" s="66"/>
      <c r="AC266" s="66"/>
      <c r="AD266" s="2"/>
      <c r="AE266" s="2"/>
      <c r="AF266" s="2"/>
      <c r="AG266" s="66"/>
      <c r="AH266" s="43"/>
      <c r="AI266" s="43"/>
      <c r="AJ266" s="2"/>
      <c r="AK266" s="1"/>
      <c r="AL266" s="1"/>
      <c r="AM266" s="1"/>
      <c r="AN266" s="44">
        <f t="shared" si="6"/>
        <v>0</v>
      </c>
      <c r="AO266" s="45">
        <f t="shared" si="7"/>
        <v>0</v>
      </c>
      <c r="AP266" s="46"/>
    </row>
    <row r="267" spans="1:42" ht="12.75">
      <c r="A267" s="2">
        <v>220</v>
      </c>
      <c r="B267" s="2">
        <v>228</v>
      </c>
      <c r="C267" s="2" t="s">
        <v>79</v>
      </c>
      <c r="D267" s="1" t="s">
        <v>6</v>
      </c>
      <c r="E267" s="1">
        <v>3</v>
      </c>
      <c r="F267" s="1" t="s">
        <v>1658</v>
      </c>
      <c r="G267" s="1" t="s">
        <v>1657</v>
      </c>
      <c r="H267" s="2" t="s">
        <v>2510</v>
      </c>
      <c r="I267" s="1" t="s">
        <v>4166</v>
      </c>
      <c r="J267" s="1" t="s">
        <v>4127</v>
      </c>
      <c r="K267" s="63">
        <v>29104391</v>
      </c>
      <c r="L267" s="1" t="s">
        <v>2438</v>
      </c>
      <c r="M267" s="1">
        <v>3447000</v>
      </c>
      <c r="N267" s="1" t="s">
        <v>3735</v>
      </c>
      <c r="O267" s="1" t="s">
        <v>4181</v>
      </c>
      <c r="P267" s="1">
        <v>3428</v>
      </c>
      <c r="Q267" s="64">
        <v>43073</v>
      </c>
      <c r="R267" s="64">
        <v>46724</v>
      </c>
      <c r="S267" s="62" t="s">
        <v>2440</v>
      </c>
      <c r="T267" s="29" t="s">
        <v>2441</v>
      </c>
      <c r="U267" s="2" t="s">
        <v>2444</v>
      </c>
      <c r="V267" s="1" t="s">
        <v>3669</v>
      </c>
      <c r="W267" s="1" t="s">
        <v>3670</v>
      </c>
      <c r="X267" s="1">
        <v>2658</v>
      </c>
      <c r="Y267" s="60">
        <v>95259.15</v>
      </c>
      <c r="Z267" s="60">
        <v>91541.12</v>
      </c>
      <c r="AA267" s="2" t="s">
        <v>3741</v>
      </c>
      <c r="AB267" s="66"/>
      <c r="AC267" s="66"/>
      <c r="AD267" s="2"/>
      <c r="AE267" s="2"/>
      <c r="AF267" s="2"/>
      <c r="AG267" s="66"/>
      <c r="AH267" s="43"/>
      <c r="AI267" s="43"/>
      <c r="AJ267" s="2"/>
      <c r="AK267" s="1"/>
      <c r="AL267" s="1"/>
      <c r="AM267" s="1"/>
      <c r="AN267" s="44">
        <f t="shared" si="6"/>
        <v>0</v>
      </c>
      <c r="AO267" s="45">
        <f t="shared" si="7"/>
        <v>0</v>
      </c>
      <c r="AP267" s="46"/>
    </row>
    <row r="268" spans="1:42" ht="51" customHeight="1">
      <c r="A268" s="2">
        <v>221</v>
      </c>
      <c r="B268" s="2">
        <v>229</v>
      </c>
      <c r="C268" s="1" t="s">
        <v>79</v>
      </c>
      <c r="D268" s="1" t="s">
        <v>6</v>
      </c>
      <c r="E268" s="13">
        <v>3</v>
      </c>
      <c r="F268" s="13" t="s">
        <v>1659</v>
      </c>
      <c r="G268" s="2" t="s">
        <v>1660</v>
      </c>
      <c r="H268" s="2" t="s">
        <v>2510</v>
      </c>
      <c r="I268" s="1" t="s">
        <v>4166</v>
      </c>
      <c r="J268" s="1" t="s">
        <v>4127</v>
      </c>
      <c r="K268" s="63">
        <v>29104391</v>
      </c>
      <c r="L268" s="1" t="s">
        <v>2438</v>
      </c>
      <c r="M268" s="1">
        <v>3447000</v>
      </c>
      <c r="N268" s="1" t="s">
        <v>3735</v>
      </c>
      <c r="O268" s="1" t="s">
        <v>4181</v>
      </c>
      <c r="P268" s="1">
        <v>3428</v>
      </c>
      <c r="Q268" s="64">
        <v>43073</v>
      </c>
      <c r="R268" s="64">
        <v>46724</v>
      </c>
      <c r="S268" s="62" t="s">
        <v>2440</v>
      </c>
      <c r="T268" s="29" t="s">
        <v>2441</v>
      </c>
      <c r="U268" s="2" t="s">
        <v>2444</v>
      </c>
      <c r="V268" s="23" t="s">
        <v>3671</v>
      </c>
      <c r="W268" s="23" t="s">
        <v>3672</v>
      </c>
      <c r="X268" s="23">
        <v>2632</v>
      </c>
      <c r="Y268" s="60">
        <v>95381.45</v>
      </c>
      <c r="Z268" s="60">
        <v>91697.77</v>
      </c>
      <c r="AA268" s="2" t="s">
        <v>3868</v>
      </c>
      <c r="AB268" s="94">
        <v>43733</v>
      </c>
      <c r="AC268" s="50">
        <v>0.40972222222222227</v>
      </c>
      <c r="AD268" s="93"/>
      <c r="AE268" s="93"/>
      <c r="AF268" s="93"/>
      <c r="AG268" s="93"/>
      <c r="AH268" s="93"/>
      <c r="AI268" s="93"/>
      <c r="AJ268" s="93"/>
      <c r="AK268" s="93"/>
      <c r="AL268" s="93"/>
      <c r="AM268" s="93"/>
      <c r="AN268" s="117">
        <f t="shared" si="6"/>
        <v>0</v>
      </c>
      <c r="AO268" s="118">
        <f t="shared" si="7"/>
        <v>0</v>
      </c>
      <c r="AP268" s="13" t="s">
        <v>2413</v>
      </c>
    </row>
    <row r="269" spans="1:42" ht="12.75">
      <c r="A269" s="2">
        <v>222</v>
      </c>
      <c r="B269" s="2">
        <v>230</v>
      </c>
      <c r="C269" s="2" t="s">
        <v>79</v>
      </c>
      <c r="D269" s="2" t="s">
        <v>6</v>
      </c>
      <c r="E269" s="2">
        <v>3</v>
      </c>
      <c r="F269" s="2" t="s">
        <v>1661</v>
      </c>
      <c r="G269" s="2" t="s">
        <v>1662</v>
      </c>
      <c r="H269" s="2" t="s">
        <v>2510</v>
      </c>
      <c r="I269" s="1" t="s">
        <v>4166</v>
      </c>
      <c r="J269" s="1" t="s">
        <v>4127</v>
      </c>
      <c r="K269" s="63">
        <v>29104391</v>
      </c>
      <c r="L269" s="1" t="s">
        <v>2438</v>
      </c>
      <c r="M269" s="1">
        <v>3447000</v>
      </c>
      <c r="N269" s="1" t="s">
        <v>3735</v>
      </c>
      <c r="O269" s="1" t="s">
        <v>4181</v>
      </c>
      <c r="P269" s="1">
        <v>3428</v>
      </c>
      <c r="Q269" s="64">
        <v>43073</v>
      </c>
      <c r="R269" s="64">
        <v>46724</v>
      </c>
      <c r="S269" s="62" t="s">
        <v>2440</v>
      </c>
      <c r="T269" s="29" t="s">
        <v>2441</v>
      </c>
      <c r="U269" s="2" t="s">
        <v>2444</v>
      </c>
      <c r="V269" s="2" t="s">
        <v>3673</v>
      </c>
      <c r="W269" s="2" t="s">
        <v>3674</v>
      </c>
      <c r="X269" s="2">
        <v>2626</v>
      </c>
      <c r="Y269" s="60">
        <v>95401.73</v>
      </c>
      <c r="Z269" s="60">
        <v>91726.14</v>
      </c>
      <c r="AA269" s="2" t="s">
        <v>3741</v>
      </c>
      <c r="AB269" s="66"/>
      <c r="AC269" s="66"/>
      <c r="AD269" s="2"/>
      <c r="AE269" s="2"/>
      <c r="AF269" s="2"/>
      <c r="AG269" s="66"/>
      <c r="AH269" s="43"/>
      <c r="AI269" s="43"/>
      <c r="AJ269" s="2"/>
      <c r="AK269" s="1"/>
      <c r="AL269" s="1"/>
      <c r="AM269" s="1"/>
      <c r="AN269" s="44">
        <f t="shared" si="6"/>
        <v>0</v>
      </c>
      <c r="AO269" s="45">
        <f t="shared" si="7"/>
        <v>0</v>
      </c>
      <c r="AP269" s="46"/>
    </row>
    <row r="270" spans="1:42" ht="25.5">
      <c r="A270" s="2">
        <v>223</v>
      </c>
      <c r="B270" s="2">
        <v>231</v>
      </c>
      <c r="C270" s="2" t="s">
        <v>79</v>
      </c>
      <c r="D270" s="2" t="s">
        <v>6</v>
      </c>
      <c r="E270" s="2">
        <v>3</v>
      </c>
      <c r="F270" s="2" t="s">
        <v>1663</v>
      </c>
      <c r="G270" s="2" t="s">
        <v>1664</v>
      </c>
      <c r="H270" s="2" t="s">
        <v>2510</v>
      </c>
      <c r="I270" s="1" t="s">
        <v>4166</v>
      </c>
      <c r="J270" s="1" t="s">
        <v>4127</v>
      </c>
      <c r="K270" s="63">
        <v>29104391</v>
      </c>
      <c r="L270" s="1" t="s">
        <v>2438</v>
      </c>
      <c r="M270" s="1">
        <v>3447000</v>
      </c>
      <c r="N270" s="1" t="s">
        <v>3735</v>
      </c>
      <c r="O270" s="1" t="s">
        <v>4181</v>
      </c>
      <c r="P270" s="1">
        <v>3428</v>
      </c>
      <c r="Q270" s="64">
        <v>43073</v>
      </c>
      <c r="R270" s="64">
        <v>46724</v>
      </c>
      <c r="S270" s="62" t="s">
        <v>2440</v>
      </c>
      <c r="T270" s="29" t="s">
        <v>2441</v>
      </c>
      <c r="U270" s="9" t="s">
        <v>2443</v>
      </c>
      <c r="V270" s="2" t="s">
        <v>3675</v>
      </c>
      <c r="W270" s="2" t="s">
        <v>3676</v>
      </c>
      <c r="X270" s="2">
        <v>2614</v>
      </c>
      <c r="Y270" s="60">
        <v>95458.278</v>
      </c>
      <c r="Z270" s="60">
        <v>91819.278</v>
      </c>
      <c r="AA270" s="2" t="s">
        <v>3741</v>
      </c>
      <c r="AB270" s="66"/>
      <c r="AC270" s="66"/>
      <c r="AD270" s="2"/>
      <c r="AE270" s="2"/>
      <c r="AF270" s="2"/>
      <c r="AG270" s="66"/>
      <c r="AH270" s="43"/>
      <c r="AI270" s="43"/>
      <c r="AJ270" s="2"/>
      <c r="AK270" s="1"/>
      <c r="AL270" s="1"/>
      <c r="AM270" s="1"/>
      <c r="AN270" s="44">
        <f t="shared" si="6"/>
        <v>0</v>
      </c>
      <c r="AO270" s="45">
        <f t="shared" si="7"/>
        <v>0</v>
      </c>
      <c r="AP270" s="66"/>
    </row>
    <row r="271" spans="1:42" ht="25.5">
      <c r="A271" s="2">
        <v>224</v>
      </c>
      <c r="B271" s="2">
        <v>232</v>
      </c>
      <c r="C271" s="1" t="s">
        <v>2557</v>
      </c>
      <c r="D271" s="2" t="s">
        <v>6</v>
      </c>
      <c r="E271" s="2">
        <v>3</v>
      </c>
      <c r="F271" s="2" t="s">
        <v>1665</v>
      </c>
      <c r="G271" s="2" t="s">
        <v>1666</v>
      </c>
      <c r="H271" s="2" t="s">
        <v>2510</v>
      </c>
      <c r="I271" s="1" t="s">
        <v>4166</v>
      </c>
      <c r="J271" s="1" t="s">
        <v>4127</v>
      </c>
      <c r="K271" s="63">
        <v>29104391</v>
      </c>
      <c r="L271" s="1" t="s">
        <v>2438</v>
      </c>
      <c r="M271" s="1">
        <v>3447000</v>
      </c>
      <c r="N271" s="1" t="s">
        <v>3735</v>
      </c>
      <c r="O271" s="1" t="s">
        <v>4181</v>
      </c>
      <c r="P271" s="1">
        <v>3428</v>
      </c>
      <c r="Q271" s="64">
        <v>43073</v>
      </c>
      <c r="R271" s="64">
        <v>46724</v>
      </c>
      <c r="S271" s="62" t="s">
        <v>2440</v>
      </c>
      <c r="T271" s="30" t="s">
        <v>2436</v>
      </c>
      <c r="U271" s="87" t="s">
        <v>2436</v>
      </c>
      <c r="V271" s="2" t="s">
        <v>3677</v>
      </c>
      <c r="W271" s="2" t="s">
        <v>3678</v>
      </c>
      <c r="X271" s="2">
        <v>2771</v>
      </c>
      <c r="Y271" s="60">
        <v>94479.538</v>
      </c>
      <c r="Z271" s="60">
        <v>91623.436</v>
      </c>
      <c r="AA271" s="2" t="s">
        <v>3741</v>
      </c>
      <c r="AB271" s="66"/>
      <c r="AC271" s="66"/>
      <c r="AD271" s="2"/>
      <c r="AE271" s="2"/>
      <c r="AF271" s="2"/>
      <c r="AG271" s="66"/>
      <c r="AH271" s="43"/>
      <c r="AI271" s="43"/>
      <c r="AJ271" s="2"/>
      <c r="AK271" s="1"/>
      <c r="AL271" s="1"/>
      <c r="AM271" s="1"/>
      <c r="AN271" s="44">
        <f t="shared" si="6"/>
        <v>0</v>
      </c>
      <c r="AO271" s="45">
        <f t="shared" si="7"/>
        <v>0</v>
      </c>
      <c r="AP271" s="66"/>
    </row>
    <row r="272" spans="1:42" ht="53.25" customHeight="1">
      <c r="A272" s="2">
        <v>225</v>
      </c>
      <c r="B272" s="2">
        <v>233</v>
      </c>
      <c r="C272" s="1" t="s">
        <v>2557</v>
      </c>
      <c r="D272" s="1" t="s">
        <v>6</v>
      </c>
      <c r="E272" s="13">
        <v>3</v>
      </c>
      <c r="F272" s="13" t="s">
        <v>1667</v>
      </c>
      <c r="G272" s="2" t="s">
        <v>1668</v>
      </c>
      <c r="H272" s="2" t="s">
        <v>2510</v>
      </c>
      <c r="I272" s="1" t="s">
        <v>4166</v>
      </c>
      <c r="J272" s="1" t="s">
        <v>4127</v>
      </c>
      <c r="K272" s="63">
        <v>29104391</v>
      </c>
      <c r="L272" s="1" t="s">
        <v>2438</v>
      </c>
      <c r="M272" s="1">
        <v>3447000</v>
      </c>
      <c r="N272" s="1" t="s">
        <v>3735</v>
      </c>
      <c r="O272" s="1" t="s">
        <v>4181</v>
      </c>
      <c r="P272" s="1">
        <v>3428</v>
      </c>
      <c r="Q272" s="64">
        <v>43073</v>
      </c>
      <c r="R272" s="64">
        <v>46724</v>
      </c>
      <c r="S272" s="62" t="s">
        <v>2440</v>
      </c>
      <c r="T272" s="30" t="s">
        <v>2436</v>
      </c>
      <c r="U272" s="87" t="s">
        <v>2436</v>
      </c>
      <c r="V272" s="23" t="s">
        <v>3679</v>
      </c>
      <c r="W272" s="23" t="s">
        <v>1669</v>
      </c>
      <c r="X272" s="2">
        <v>2756</v>
      </c>
      <c r="Y272" s="60">
        <v>94519.8</v>
      </c>
      <c r="Z272" s="60">
        <v>91687.286</v>
      </c>
      <c r="AA272" s="2" t="s">
        <v>3868</v>
      </c>
      <c r="AB272" s="94">
        <v>43749</v>
      </c>
      <c r="AC272" s="50">
        <v>0.43194444444444446</v>
      </c>
      <c r="AD272" s="93"/>
      <c r="AE272" s="93"/>
      <c r="AF272" s="93"/>
      <c r="AG272" s="93"/>
      <c r="AH272" s="93"/>
      <c r="AI272" s="93"/>
      <c r="AJ272" s="93"/>
      <c r="AK272" s="93"/>
      <c r="AL272" s="93"/>
      <c r="AM272" s="93"/>
      <c r="AN272" s="117">
        <f t="shared" si="6"/>
        <v>0</v>
      </c>
      <c r="AO272" s="118">
        <f t="shared" si="7"/>
        <v>0</v>
      </c>
      <c r="AP272" s="66"/>
    </row>
    <row r="273" spans="1:42" ht="60.75" customHeight="1">
      <c r="A273" s="2">
        <v>226</v>
      </c>
      <c r="B273" s="2">
        <v>234</v>
      </c>
      <c r="C273" s="1" t="s">
        <v>2557</v>
      </c>
      <c r="D273" s="1" t="s">
        <v>6</v>
      </c>
      <c r="E273" s="13">
        <v>3</v>
      </c>
      <c r="F273" s="13" t="s">
        <v>1670</v>
      </c>
      <c r="G273" s="2" t="s">
        <v>2335</v>
      </c>
      <c r="H273" s="2" t="s">
        <v>2510</v>
      </c>
      <c r="I273" s="1" t="s">
        <v>4166</v>
      </c>
      <c r="J273" s="1" t="s">
        <v>4127</v>
      </c>
      <c r="K273" s="63">
        <v>29104391</v>
      </c>
      <c r="L273" s="1" t="s">
        <v>2438</v>
      </c>
      <c r="M273" s="1">
        <v>3447000</v>
      </c>
      <c r="N273" s="1" t="s">
        <v>3735</v>
      </c>
      <c r="O273" s="1" t="s">
        <v>4181</v>
      </c>
      <c r="P273" s="1">
        <v>3428</v>
      </c>
      <c r="Q273" s="64">
        <v>43073</v>
      </c>
      <c r="R273" s="64">
        <v>46724</v>
      </c>
      <c r="S273" s="62" t="s">
        <v>2440</v>
      </c>
      <c r="T273" s="29" t="s">
        <v>2442</v>
      </c>
      <c r="U273" s="2" t="s">
        <v>2443</v>
      </c>
      <c r="V273" s="23" t="s">
        <v>3680</v>
      </c>
      <c r="W273" s="23" t="s">
        <v>2336</v>
      </c>
      <c r="X273" s="23">
        <v>2740</v>
      </c>
      <c r="Y273" s="60">
        <v>94551.75</v>
      </c>
      <c r="Z273" s="60">
        <v>91769.62</v>
      </c>
      <c r="AA273" s="2" t="s">
        <v>3868</v>
      </c>
      <c r="AB273" s="94">
        <v>43749</v>
      </c>
      <c r="AC273" s="50">
        <v>0.4472222222222222</v>
      </c>
      <c r="AD273" s="93"/>
      <c r="AE273" s="93"/>
      <c r="AF273" s="93"/>
      <c r="AG273" s="93"/>
      <c r="AH273" s="93"/>
      <c r="AI273" s="93"/>
      <c r="AJ273" s="93"/>
      <c r="AK273" s="93"/>
      <c r="AL273" s="93"/>
      <c r="AM273" s="93"/>
      <c r="AN273" s="117">
        <f t="shared" si="6"/>
        <v>0</v>
      </c>
      <c r="AO273" s="118">
        <f t="shared" si="7"/>
        <v>0</v>
      </c>
      <c r="AP273" s="13" t="s">
        <v>2413</v>
      </c>
    </row>
    <row r="274" spans="1:42" ht="71.25" customHeight="1">
      <c r="A274" s="2">
        <v>227</v>
      </c>
      <c r="B274" s="2">
        <v>235</v>
      </c>
      <c r="C274" s="1" t="s">
        <v>2557</v>
      </c>
      <c r="D274" s="1" t="s">
        <v>6</v>
      </c>
      <c r="E274" s="13">
        <v>3</v>
      </c>
      <c r="F274" s="13" t="s">
        <v>1671</v>
      </c>
      <c r="G274" s="2" t="s">
        <v>2337</v>
      </c>
      <c r="H274" s="2" t="s">
        <v>2510</v>
      </c>
      <c r="I274" s="1" t="s">
        <v>4166</v>
      </c>
      <c r="J274" s="1" t="s">
        <v>4127</v>
      </c>
      <c r="K274" s="63">
        <v>29104391</v>
      </c>
      <c r="L274" s="1" t="s">
        <v>2438</v>
      </c>
      <c r="M274" s="1">
        <v>3447000</v>
      </c>
      <c r="N274" s="1" t="s">
        <v>3735</v>
      </c>
      <c r="O274" s="1" t="s">
        <v>4181</v>
      </c>
      <c r="P274" s="1">
        <v>3428</v>
      </c>
      <c r="Q274" s="64">
        <v>43073</v>
      </c>
      <c r="R274" s="64">
        <v>46724</v>
      </c>
      <c r="S274" s="62" t="s">
        <v>2440</v>
      </c>
      <c r="T274" s="29" t="s">
        <v>2442</v>
      </c>
      <c r="U274" s="2" t="s">
        <v>2444</v>
      </c>
      <c r="V274" s="23" t="s">
        <v>3681</v>
      </c>
      <c r="W274" s="23" t="s">
        <v>2338</v>
      </c>
      <c r="X274" s="23">
        <v>2736</v>
      </c>
      <c r="Y274" s="60">
        <v>94528.71</v>
      </c>
      <c r="Z274" s="60">
        <v>91799.22</v>
      </c>
      <c r="AA274" s="2" t="s">
        <v>3868</v>
      </c>
      <c r="AB274" s="94">
        <v>43749</v>
      </c>
      <c r="AC274" s="50">
        <v>0.44930555555555557</v>
      </c>
      <c r="AD274" s="2"/>
      <c r="AE274" s="2"/>
      <c r="AF274" s="2"/>
      <c r="AG274" s="2"/>
      <c r="AH274" s="43"/>
      <c r="AI274" s="43"/>
      <c r="AJ274" s="2"/>
      <c r="AK274" s="1"/>
      <c r="AL274" s="1"/>
      <c r="AM274" s="1"/>
      <c r="AN274" s="117">
        <f t="shared" si="6"/>
        <v>0</v>
      </c>
      <c r="AO274" s="118">
        <f t="shared" si="7"/>
        <v>0</v>
      </c>
      <c r="AP274" s="13" t="s">
        <v>2413</v>
      </c>
    </row>
    <row r="275" spans="1:42" ht="48.75" customHeight="1">
      <c r="A275" s="2">
        <v>228</v>
      </c>
      <c r="B275" s="2">
        <v>236</v>
      </c>
      <c r="C275" s="1" t="s">
        <v>2557</v>
      </c>
      <c r="D275" s="1" t="s">
        <v>6</v>
      </c>
      <c r="E275" s="13">
        <v>3</v>
      </c>
      <c r="F275" s="13" t="s">
        <v>1673</v>
      </c>
      <c r="G275" s="2" t="s">
        <v>1672</v>
      </c>
      <c r="H275" s="2" t="s">
        <v>2510</v>
      </c>
      <c r="I275" s="1" t="s">
        <v>4166</v>
      </c>
      <c r="J275" s="1" t="s">
        <v>4127</v>
      </c>
      <c r="K275" s="63">
        <v>29104391</v>
      </c>
      <c r="L275" s="1" t="s">
        <v>2438</v>
      </c>
      <c r="M275" s="1">
        <v>3447000</v>
      </c>
      <c r="N275" s="1" t="s">
        <v>3735</v>
      </c>
      <c r="O275" s="1" t="s">
        <v>4181</v>
      </c>
      <c r="P275" s="1">
        <v>3428</v>
      </c>
      <c r="Q275" s="64">
        <v>43073</v>
      </c>
      <c r="R275" s="64">
        <v>46724</v>
      </c>
      <c r="S275" s="62" t="s">
        <v>2440</v>
      </c>
      <c r="T275" s="29" t="s">
        <v>2442</v>
      </c>
      <c r="U275" s="2" t="s">
        <v>2444</v>
      </c>
      <c r="V275" s="23" t="s">
        <v>3682</v>
      </c>
      <c r="W275" s="23" t="s">
        <v>3683</v>
      </c>
      <c r="X275" s="23">
        <v>2733</v>
      </c>
      <c r="Y275" s="60">
        <v>94533.83</v>
      </c>
      <c r="Z275" s="60">
        <v>91813.56</v>
      </c>
      <c r="AA275" s="2" t="s">
        <v>3868</v>
      </c>
      <c r="AB275" s="94">
        <v>43749</v>
      </c>
      <c r="AC275" s="50">
        <v>0.4527777777777778</v>
      </c>
      <c r="AD275" s="93"/>
      <c r="AE275" s="93"/>
      <c r="AF275" s="93"/>
      <c r="AG275" s="93"/>
      <c r="AH275" s="93"/>
      <c r="AI275" s="93"/>
      <c r="AJ275" s="93"/>
      <c r="AK275" s="93"/>
      <c r="AL275" s="93"/>
      <c r="AM275" s="93"/>
      <c r="AN275" s="117">
        <f t="shared" si="6"/>
        <v>0</v>
      </c>
      <c r="AO275" s="118">
        <f t="shared" si="7"/>
        <v>0</v>
      </c>
      <c r="AP275" s="13" t="s">
        <v>2413</v>
      </c>
    </row>
    <row r="276" spans="1:42" ht="54.75" customHeight="1">
      <c r="A276" s="2">
        <v>229</v>
      </c>
      <c r="B276" s="2">
        <v>237</v>
      </c>
      <c r="C276" s="1" t="s">
        <v>2557</v>
      </c>
      <c r="D276" s="1" t="s">
        <v>6</v>
      </c>
      <c r="E276" s="13">
        <v>3</v>
      </c>
      <c r="F276" s="13" t="s">
        <v>1674</v>
      </c>
      <c r="G276" s="2" t="s">
        <v>2339</v>
      </c>
      <c r="H276" s="2" t="s">
        <v>2510</v>
      </c>
      <c r="I276" s="1" t="s">
        <v>4166</v>
      </c>
      <c r="J276" s="1" t="s">
        <v>4127</v>
      </c>
      <c r="K276" s="63">
        <v>29104391</v>
      </c>
      <c r="L276" s="1" t="s">
        <v>2438</v>
      </c>
      <c r="M276" s="1">
        <v>3447000</v>
      </c>
      <c r="N276" s="1" t="s">
        <v>3735</v>
      </c>
      <c r="O276" s="1" t="s">
        <v>4181</v>
      </c>
      <c r="P276" s="1">
        <v>3428</v>
      </c>
      <c r="Q276" s="64">
        <v>43073</v>
      </c>
      <c r="R276" s="64">
        <v>46724</v>
      </c>
      <c r="S276" s="62" t="s">
        <v>2440</v>
      </c>
      <c r="T276" s="29" t="s">
        <v>2441</v>
      </c>
      <c r="U276" s="2" t="s">
        <v>2443</v>
      </c>
      <c r="V276" s="23" t="s">
        <v>3684</v>
      </c>
      <c r="W276" s="23" t="s">
        <v>2340</v>
      </c>
      <c r="X276" s="23">
        <v>2725</v>
      </c>
      <c r="Y276" s="60">
        <v>94534.85</v>
      </c>
      <c r="Z276" s="60">
        <v>91865.83</v>
      </c>
      <c r="AA276" s="2" t="s">
        <v>3868</v>
      </c>
      <c r="AB276" s="94">
        <v>43749</v>
      </c>
      <c r="AC276" s="50">
        <v>0.4756944444444444</v>
      </c>
      <c r="AD276" s="93"/>
      <c r="AE276" s="93"/>
      <c r="AF276" s="93"/>
      <c r="AG276" s="93"/>
      <c r="AH276" s="93"/>
      <c r="AI276" s="93"/>
      <c r="AJ276" s="93"/>
      <c r="AK276" s="93"/>
      <c r="AL276" s="93"/>
      <c r="AM276" s="93"/>
      <c r="AN276" s="117">
        <f t="shared" si="6"/>
        <v>0</v>
      </c>
      <c r="AO276" s="118">
        <f t="shared" si="7"/>
        <v>0</v>
      </c>
      <c r="AP276" s="13" t="s">
        <v>2413</v>
      </c>
    </row>
    <row r="277" spans="1:42" ht="57.75" customHeight="1">
      <c r="A277" s="2">
        <v>230</v>
      </c>
      <c r="B277" s="2">
        <v>238</v>
      </c>
      <c r="C277" s="1" t="s">
        <v>2557</v>
      </c>
      <c r="D277" s="1" t="s">
        <v>6</v>
      </c>
      <c r="E277" s="13">
        <v>3</v>
      </c>
      <c r="F277" s="13" t="s">
        <v>1675</v>
      </c>
      <c r="G277" s="2" t="s">
        <v>2339</v>
      </c>
      <c r="H277" s="2" t="s">
        <v>2510</v>
      </c>
      <c r="I277" s="1" t="s">
        <v>4166</v>
      </c>
      <c r="J277" s="1" t="s">
        <v>4127</v>
      </c>
      <c r="K277" s="63">
        <v>29104391</v>
      </c>
      <c r="L277" s="1" t="s">
        <v>2438</v>
      </c>
      <c r="M277" s="1">
        <v>3447000</v>
      </c>
      <c r="N277" s="1" t="s">
        <v>3735</v>
      </c>
      <c r="O277" s="1" t="s">
        <v>4181</v>
      </c>
      <c r="P277" s="1">
        <v>3428</v>
      </c>
      <c r="Q277" s="64">
        <v>43073</v>
      </c>
      <c r="R277" s="64">
        <v>46724</v>
      </c>
      <c r="S277" s="62" t="s">
        <v>2440</v>
      </c>
      <c r="T277" s="29" t="s">
        <v>2441</v>
      </c>
      <c r="U277" s="2" t="s">
        <v>2444</v>
      </c>
      <c r="V277" s="23" t="s">
        <v>3684</v>
      </c>
      <c r="W277" s="23" t="s">
        <v>2340</v>
      </c>
      <c r="X277" s="23">
        <v>2725</v>
      </c>
      <c r="Y277" s="60">
        <v>94534.85</v>
      </c>
      <c r="Z277" s="60">
        <v>91865.83</v>
      </c>
      <c r="AA277" s="2" t="s">
        <v>4125</v>
      </c>
      <c r="AB277" s="94">
        <v>43725</v>
      </c>
      <c r="AC277" s="50" t="s">
        <v>3877</v>
      </c>
      <c r="AD277" s="2">
        <v>338</v>
      </c>
      <c r="AE277" s="2">
        <v>208</v>
      </c>
      <c r="AF277" s="2">
        <v>2.65</v>
      </c>
      <c r="AG277" s="2">
        <v>24</v>
      </c>
      <c r="AH277" s="102">
        <f>AF277*AD277*AG277*0.0036</f>
        <v>77.38848</v>
      </c>
      <c r="AI277" s="102">
        <f>AF277*AE277*AG277*0.0036</f>
        <v>47.62367999999999</v>
      </c>
      <c r="AJ277" s="2">
        <v>30</v>
      </c>
      <c r="AK277" s="1">
        <v>12</v>
      </c>
      <c r="AL277" s="1">
        <v>0.93</v>
      </c>
      <c r="AM277" s="1">
        <v>0.88</v>
      </c>
      <c r="AN277" s="117">
        <f>AH277*AJ277*AK277*AL277</f>
        <v>25909.663104000003</v>
      </c>
      <c r="AO277" s="118">
        <f>AI277*AJ277*AK277*AM277</f>
        <v>15087.181823999996</v>
      </c>
      <c r="AP277" s="13" t="s">
        <v>2413</v>
      </c>
    </row>
    <row r="278" spans="1:42" ht="25.5">
      <c r="A278" s="2">
        <v>231</v>
      </c>
      <c r="B278" s="2">
        <v>239</v>
      </c>
      <c r="C278" s="1" t="s">
        <v>2557</v>
      </c>
      <c r="D278" s="1" t="s">
        <v>6</v>
      </c>
      <c r="E278" s="1">
        <v>3</v>
      </c>
      <c r="F278" s="1" t="s">
        <v>1676</v>
      </c>
      <c r="G278" s="1" t="s">
        <v>1677</v>
      </c>
      <c r="H278" s="2" t="s">
        <v>2510</v>
      </c>
      <c r="I278" s="1" t="s">
        <v>4166</v>
      </c>
      <c r="J278" s="1" t="s">
        <v>4127</v>
      </c>
      <c r="K278" s="63">
        <v>29104391</v>
      </c>
      <c r="L278" s="1" t="s">
        <v>2438</v>
      </c>
      <c r="M278" s="1">
        <v>3447000</v>
      </c>
      <c r="N278" s="1" t="s">
        <v>3735</v>
      </c>
      <c r="O278" s="1" t="s">
        <v>4181</v>
      </c>
      <c r="P278" s="1">
        <v>3428</v>
      </c>
      <c r="Q278" s="64">
        <v>43073</v>
      </c>
      <c r="R278" s="64">
        <v>46724</v>
      </c>
      <c r="S278" s="62" t="s">
        <v>2440</v>
      </c>
      <c r="T278" s="29" t="s">
        <v>2442</v>
      </c>
      <c r="U278" s="2" t="s">
        <v>2444</v>
      </c>
      <c r="V278" s="1" t="s">
        <v>3685</v>
      </c>
      <c r="W278" s="1" t="s">
        <v>3686</v>
      </c>
      <c r="X278" s="1">
        <v>2704</v>
      </c>
      <c r="Y278" s="60">
        <v>94688.17</v>
      </c>
      <c r="Z278" s="60">
        <v>91970.66</v>
      </c>
      <c r="AA278" s="2" t="s">
        <v>3741</v>
      </c>
      <c r="AB278" s="66"/>
      <c r="AC278" s="66"/>
      <c r="AD278" s="2"/>
      <c r="AE278" s="2"/>
      <c r="AF278" s="2"/>
      <c r="AG278" s="66"/>
      <c r="AH278" s="43"/>
      <c r="AI278" s="43"/>
      <c r="AJ278" s="2"/>
      <c r="AK278" s="1"/>
      <c r="AL278" s="1"/>
      <c r="AM278" s="1"/>
      <c r="AN278" s="44">
        <f t="shared" si="6"/>
        <v>0</v>
      </c>
      <c r="AO278" s="45">
        <f t="shared" si="7"/>
        <v>0</v>
      </c>
      <c r="AP278" s="2" t="s">
        <v>2413</v>
      </c>
    </row>
    <row r="279" spans="1:42" ht="25.5">
      <c r="A279" s="2">
        <v>232</v>
      </c>
      <c r="B279" s="2">
        <v>240</v>
      </c>
      <c r="C279" s="1" t="s">
        <v>2557</v>
      </c>
      <c r="D279" s="1" t="s">
        <v>6</v>
      </c>
      <c r="E279" s="1">
        <v>3</v>
      </c>
      <c r="F279" s="1" t="s">
        <v>1678</v>
      </c>
      <c r="G279" s="1" t="s">
        <v>2341</v>
      </c>
      <c r="H279" s="2" t="s">
        <v>2510</v>
      </c>
      <c r="I279" s="1" t="s">
        <v>4166</v>
      </c>
      <c r="J279" s="1" t="s">
        <v>4127</v>
      </c>
      <c r="K279" s="63">
        <v>29104391</v>
      </c>
      <c r="L279" s="1" t="s">
        <v>2438</v>
      </c>
      <c r="M279" s="1">
        <v>3447000</v>
      </c>
      <c r="N279" s="1" t="s">
        <v>3735</v>
      </c>
      <c r="O279" s="1" t="s">
        <v>4181</v>
      </c>
      <c r="P279" s="1">
        <v>3428</v>
      </c>
      <c r="Q279" s="64">
        <v>43073</v>
      </c>
      <c r="R279" s="64">
        <v>46724</v>
      </c>
      <c r="S279" s="62" t="s">
        <v>2440</v>
      </c>
      <c r="T279" s="29" t="s">
        <v>2441</v>
      </c>
      <c r="U279" s="2" t="s">
        <v>2444</v>
      </c>
      <c r="V279" s="1" t="s">
        <v>3687</v>
      </c>
      <c r="W279" s="1" t="s">
        <v>2342</v>
      </c>
      <c r="X279" s="1">
        <v>2695</v>
      </c>
      <c r="Y279" s="60">
        <v>94732.93</v>
      </c>
      <c r="Z279" s="60">
        <v>92020.21</v>
      </c>
      <c r="AA279" s="2" t="s">
        <v>3741</v>
      </c>
      <c r="AB279" s="66"/>
      <c r="AC279" s="66"/>
      <c r="AD279" s="2"/>
      <c r="AE279" s="2"/>
      <c r="AF279" s="2"/>
      <c r="AG279" s="66"/>
      <c r="AH279" s="43"/>
      <c r="AI279" s="43"/>
      <c r="AJ279" s="2"/>
      <c r="AK279" s="1"/>
      <c r="AL279" s="1"/>
      <c r="AM279" s="1"/>
      <c r="AN279" s="44">
        <f t="shared" si="6"/>
        <v>0</v>
      </c>
      <c r="AO279" s="45">
        <f t="shared" si="7"/>
        <v>0</v>
      </c>
      <c r="AP279" s="2" t="s">
        <v>2413</v>
      </c>
    </row>
    <row r="280" spans="1:42" ht="25.5">
      <c r="A280" s="2">
        <v>233</v>
      </c>
      <c r="B280" s="2">
        <v>241</v>
      </c>
      <c r="C280" s="1" t="s">
        <v>2557</v>
      </c>
      <c r="D280" s="1" t="s">
        <v>6</v>
      </c>
      <c r="E280" s="1">
        <v>3</v>
      </c>
      <c r="F280" s="1" t="s">
        <v>1679</v>
      </c>
      <c r="G280" s="1" t="s">
        <v>1680</v>
      </c>
      <c r="H280" s="2" t="s">
        <v>2510</v>
      </c>
      <c r="I280" s="1" t="s">
        <v>4166</v>
      </c>
      <c r="J280" s="1" t="s">
        <v>4127</v>
      </c>
      <c r="K280" s="63">
        <v>29104391</v>
      </c>
      <c r="L280" s="1" t="s">
        <v>2438</v>
      </c>
      <c r="M280" s="1">
        <v>3447000</v>
      </c>
      <c r="N280" s="1" t="s">
        <v>3735</v>
      </c>
      <c r="O280" s="1" t="s">
        <v>4181</v>
      </c>
      <c r="P280" s="1">
        <v>3428</v>
      </c>
      <c r="Q280" s="64">
        <v>43073</v>
      </c>
      <c r="R280" s="64">
        <v>46724</v>
      </c>
      <c r="S280" s="62" t="s">
        <v>2440</v>
      </c>
      <c r="T280" s="29" t="s">
        <v>2442</v>
      </c>
      <c r="U280" s="2" t="s">
        <v>2444</v>
      </c>
      <c r="V280" s="1" t="s">
        <v>3688</v>
      </c>
      <c r="W280" s="1" t="s">
        <v>3689</v>
      </c>
      <c r="X280" s="1">
        <v>2677</v>
      </c>
      <c r="Y280" s="60">
        <v>94907.91</v>
      </c>
      <c r="Z280" s="60">
        <v>92013.24</v>
      </c>
      <c r="AA280" s="2" t="s">
        <v>3741</v>
      </c>
      <c r="AB280" s="66"/>
      <c r="AC280" s="66"/>
      <c r="AD280" s="2"/>
      <c r="AE280" s="2"/>
      <c r="AF280" s="2"/>
      <c r="AG280" s="66"/>
      <c r="AH280" s="43"/>
      <c r="AI280" s="43"/>
      <c r="AJ280" s="2"/>
      <c r="AK280" s="1"/>
      <c r="AL280" s="1"/>
      <c r="AM280" s="1"/>
      <c r="AN280" s="44">
        <f t="shared" si="6"/>
        <v>0</v>
      </c>
      <c r="AO280" s="45">
        <f t="shared" si="7"/>
        <v>0</v>
      </c>
      <c r="AP280" s="2" t="s">
        <v>2413</v>
      </c>
    </row>
    <row r="281" spans="1:42" ht="25.5">
      <c r="A281" s="2">
        <v>234</v>
      </c>
      <c r="B281" s="2">
        <v>242</v>
      </c>
      <c r="C281" s="1" t="s">
        <v>2557</v>
      </c>
      <c r="D281" s="1" t="s">
        <v>6</v>
      </c>
      <c r="E281" s="1">
        <v>3</v>
      </c>
      <c r="F281" s="1" t="s">
        <v>1681</v>
      </c>
      <c r="G281" s="1" t="s">
        <v>1682</v>
      </c>
      <c r="H281" s="2" t="s">
        <v>2510</v>
      </c>
      <c r="I281" s="1" t="s">
        <v>4166</v>
      </c>
      <c r="J281" s="1" t="s">
        <v>4127</v>
      </c>
      <c r="K281" s="63">
        <v>29104391</v>
      </c>
      <c r="L281" s="1" t="s">
        <v>2438</v>
      </c>
      <c r="M281" s="1">
        <v>3447000</v>
      </c>
      <c r="N281" s="1" t="s">
        <v>3735</v>
      </c>
      <c r="O281" s="1" t="s">
        <v>4181</v>
      </c>
      <c r="P281" s="1">
        <v>3428</v>
      </c>
      <c r="Q281" s="64">
        <v>43073</v>
      </c>
      <c r="R281" s="64">
        <v>46724</v>
      </c>
      <c r="S281" s="62" t="s">
        <v>2440</v>
      </c>
      <c r="T281" s="29" t="s">
        <v>2442</v>
      </c>
      <c r="U281" s="2" t="s">
        <v>2444</v>
      </c>
      <c r="V281" s="1" t="s">
        <v>3690</v>
      </c>
      <c r="W281" s="1" t="s">
        <v>3691</v>
      </c>
      <c r="X281" s="1">
        <v>2672</v>
      </c>
      <c r="Y281" s="60">
        <v>95588.8</v>
      </c>
      <c r="Z281" s="60">
        <v>92022.42</v>
      </c>
      <c r="AA281" s="2" t="s">
        <v>3741</v>
      </c>
      <c r="AB281" s="94"/>
      <c r="AC281" s="50"/>
      <c r="AD281" s="2"/>
      <c r="AE281" s="2"/>
      <c r="AF281" s="2"/>
      <c r="AG281" s="66"/>
      <c r="AH281" s="43"/>
      <c r="AI281" s="43"/>
      <c r="AJ281" s="2"/>
      <c r="AK281" s="1"/>
      <c r="AL281" s="1"/>
      <c r="AM281" s="1"/>
      <c r="AN281" s="44">
        <f t="shared" si="6"/>
        <v>0</v>
      </c>
      <c r="AO281" s="45">
        <f t="shared" si="7"/>
        <v>0</v>
      </c>
      <c r="AP281" s="2" t="s">
        <v>2413</v>
      </c>
    </row>
    <row r="282" spans="1:42" ht="25.5">
      <c r="A282" s="2">
        <v>235</v>
      </c>
      <c r="B282" s="2">
        <v>243</v>
      </c>
      <c r="C282" s="1" t="s">
        <v>2557</v>
      </c>
      <c r="D282" s="1" t="s">
        <v>6</v>
      </c>
      <c r="E282" s="1">
        <v>3</v>
      </c>
      <c r="F282" s="1" t="s">
        <v>1683</v>
      </c>
      <c r="G282" s="1" t="s">
        <v>1684</v>
      </c>
      <c r="H282" s="2" t="s">
        <v>2510</v>
      </c>
      <c r="I282" s="1" t="s">
        <v>4166</v>
      </c>
      <c r="J282" s="1" t="s">
        <v>4127</v>
      </c>
      <c r="K282" s="63">
        <v>29104391</v>
      </c>
      <c r="L282" s="1" t="s">
        <v>2438</v>
      </c>
      <c r="M282" s="1">
        <v>3447000</v>
      </c>
      <c r="N282" s="1" t="s">
        <v>3735</v>
      </c>
      <c r="O282" s="1" t="s">
        <v>4181</v>
      </c>
      <c r="P282" s="1">
        <v>3428</v>
      </c>
      <c r="Q282" s="64">
        <v>43073</v>
      </c>
      <c r="R282" s="64">
        <v>46724</v>
      </c>
      <c r="S282" s="62" t="s">
        <v>2440</v>
      </c>
      <c r="T282" s="29" t="s">
        <v>2442</v>
      </c>
      <c r="U282" s="2" t="s">
        <v>2444</v>
      </c>
      <c r="V282" s="1" t="s">
        <v>3692</v>
      </c>
      <c r="W282" s="1" t="s">
        <v>3693</v>
      </c>
      <c r="X282" s="1">
        <v>2669</v>
      </c>
      <c r="Y282" s="60">
        <v>95040.39</v>
      </c>
      <c r="Z282" s="60">
        <v>91977.4</v>
      </c>
      <c r="AA282" s="2" t="s">
        <v>3741</v>
      </c>
      <c r="AB282" s="66"/>
      <c r="AC282" s="66"/>
      <c r="AD282" s="2"/>
      <c r="AE282" s="2"/>
      <c r="AF282" s="2"/>
      <c r="AG282" s="66"/>
      <c r="AH282" s="43"/>
      <c r="AI282" s="43"/>
      <c r="AJ282" s="2"/>
      <c r="AK282" s="1"/>
      <c r="AL282" s="1"/>
      <c r="AM282" s="1"/>
      <c r="AN282" s="44">
        <f t="shared" si="6"/>
        <v>0</v>
      </c>
      <c r="AO282" s="45">
        <f t="shared" si="7"/>
        <v>0</v>
      </c>
      <c r="AP282" s="2" t="s">
        <v>2413</v>
      </c>
    </row>
    <row r="283" spans="1:42" ht="70.5" customHeight="1">
      <c r="A283" s="2"/>
      <c r="B283" s="2">
        <v>244</v>
      </c>
      <c r="C283" s="1" t="s">
        <v>2557</v>
      </c>
      <c r="D283" s="1" t="s">
        <v>6</v>
      </c>
      <c r="E283" s="1">
        <v>3</v>
      </c>
      <c r="F283" s="1" t="s">
        <v>3878</v>
      </c>
      <c r="G283" s="1" t="s">
        <v>3879</v>
      </c>
      <c r="H283" s="2" t="s">
        <v>2510</v>
      </c>
      <c r="I283" s="1" t="s">
        <v>4166</v>
      </c>
      <c r="J283" s="1" t="s">
        <v>4127</v>
      </c>
      <c r="K283" s="63">
        <v>29104391</v>
      </c>
      <c r="L283" s="1" t="s">
        <v>2438</v>
      </c>
      <c r="M283" s="1">
        <v>3447000</v>
      </c>
      <c r="N283" s="1" t="s">
        <v>3735</v>
      </c>
      <c r="O283" s="1" t="s">
        <v>4181</v>
      </c>
      <c r="P283" s="1">
        <v>3428</v>
      </c>
      <c r="Q283" s="64">
        <v>43073</v>
      </c>
      <c r="R283" s="64">
        <v>46724</v>
      </c>
      <c r="S283" s="62" t="s">
        <v>2440</v>
      </c>
      <c r="T283" s="29" t="s">
        <v>2442</v>
      </c>
      <c r="U283" s="2" t="s">
        <v>2444</v>
      </c>
      <c r="V283" s="1" t="s">
        <v>3880</v>
      </c>
      <c r="W283" s="1" t="s">
        <v>3881</v>
      </c>
      <c r="X283" s="1">
        <v>2669</v>
      </c>
      <c r="Y283" s="60"/>
      <c r="Z283" s="60"/>
      <c r="AA283" s="2" t="s">
        <v>4126</v>
      </c>
      <c r="AB283" s="94">
        <v>43725</v>
      </c>
      <c r="AC283" s="82" t="s">
        <v>3789</v>
      </c>
      <c r="AD283" s="2">
        <v>360</v>
      </c>
      <c r="AE283" s="2">
        <v>265</v>
      </c>
      <c r="AF283" s="2">
        <v>3.622</v>
      </c>
      <c r="AG283" s="82">
        <v>24</v>
      </c>
      <c r="AH283" s="102">
        <f>AF283*AD283*AG283*0.0036</f>
        <v>112.658688</v>
      </c>
      <c r="AI283" s="102">
        <f>AF283*AE283*AG283*0.0036</f>
        <v>82.929312</v>
      </c>
      <c r="AJ283" s="2">
        <v>30</v>
      </c>
      <c r="AK283" s="1">
        <v>12</v>
      </c>
      <c r="AL283" s="1">
        <v>0.52</v>
      </c>
      <c r="AM283" s="1">
        <v>0.59</v>
      </c>
      <c r="AN283" s="44">
        <f t="shared" si="6"/>
        <v>21089.7063936</v>
      </c>
      <c r="AO283" s="45">
        <f t="shared" si="7"/>
        <v>17614.1858688</v>
      </c>
      <c r="AP283" s="2" t="s">
        <v>2413</v>
      </c>
    </row>
    <row r="284" spans="1:42" ht="25.5">
      <c r="A284" s="2">
        <v>236</v>
      </c>
      <c r="B284" s="2">
        <v>245</v>
      </c>
      <c r="C284" s="1" t="s">
        <v>2557</v>
      </c>
      <c r="D284" s="1" t="s">
        <v>6</v>
      </c>
      <c r="E284" s="1">
        <v>3</v>
      </c>
      <c r="F284" s="1" t="s">
        <v>1685</v>
      </c>
      <c r="G284" s="1" t="s">
        <v>1686</v>
      </c>
      <c r="H284" s="2" t="s">
        <v>2510</v>
      </c>
      <c r="I284" s="1" t="s">
        <v>4166</v>
      </c>
      <c r="J284" s="1" t="s">
        <v>4127</v>
      </c>
      <c r="K284" s="63">
        <v>29104391</v>
      </c>
      <c r="L284" s="1" t="s">
        <v>2438</v>
      </c>
      <c r="M284" s="1">
        <v>3447000</v>
      </c>
      <c r="N284" s="1" t="s">
        <v>3735</v>
      </c>
      <c r="O284" s="1" t="s">
        <v>4181</v>
      </c>
      <c r="P284" s="1">
        <v>3428</v>
      </c>
      <c r="Q284" s="64">
        <v>43073</v>
      </c>
      <c r="R284" s="64">
        <v>46724</v>
      </c>
      <c r="S284" s="62" t="s">
        <v>2440</v>
      </c>
      <c r="T284" s="29" t="s">
        <v>2442</v>
      </c>
      <c r="U284" s="2" t="s">
        <v>2444</v>
      </c>
      <c r="V284" s="1" t="s">
        <v>3694</v>
      </c>
      <c r="W284" s="1" t="s">
        <v>3695</v>
      </c>
      <c r="X284" s="1">
        <v>2659</v>
      </c>
      <c r="Y284" s="60">
        <v>95108.43</v>
      </c>
      <c r="Z284" s="60">
        <v>91928.26</v>
      </c>
      <c r="AA284" s="2" t="s">
        <v>3741</v>
      </c>
      <c r="AB284" s="66"/>
      <c r="AC284" s="66"/>
      <c r="AD284" s="2"/>
      <c r="AE284" s="2"/>
      <c r="AF284" s="2"/>
      <c r="AG284" s="66"/>
      <c r="AH284" s="43"/>
      <c r="AI284" s="43"/>
      <c r="AJ284" s="2"/>
      <c r="AK284" s="1"/>
      <c r="AL284" s="1"/>
      <c r="AM284" s="1"/>
      <c r="AN284" s="44">
        <f t="shared" si="6"/>
        <v>0</v>
      </c>
      <c r="AO284" s="45">
        <f t="shared" si="7"/>
        <v>0</v>
      </c>
      <c r="AP284" s="2" t="s">
        <v>2413</v>
      </c>
    </row>
    <row r="285" spans="1:42" ht="25.5">
      <c r="A285" s="2">
        <v>237</v>
      </c>
      <c r="B285" s="2">
        <v>246</v>
      </c>
      <c r="C285" s="1" t="s">
        <v>2557</v>
      </c>
      <c r="D285" s="1" t="s">
        <v>6</v>
      </c>
      <c r="E285" s="1">
        <v>3</v>
      </c>
      <c r="F285" s="1" t="s">
        <v>1687</v>
      </c>
      <c r="G285" s="1" t="s">
        <v>1688</v>
      </c>
      <c r="H285" s="2" t="s">
        <v>2510</v>
      </c>
      <c r="I285" s="1" t="s">
        <v>4166</v>
      </c>
      <c r="J285" s="1" t="s">
        <v>4127</v>
      </c>
      <c r="K285" s="63">
        <v>29104391</v>
      </c>
      <c r="L285" s="1" t="s">
        <v>2438</v>
      </c>
      <c r="M285" s="1">
        <v>3447000</v>
      </c>
      <c r="N285" s="1" t="s">
        <v>3735</v>
      </c>
      <c r="O285" s="1" t="s">
        <v>4181</v>
      </c>
      <c r="P285" s="1">
        <v>3428</v>
      </c>
      <c r="Q285" s="64">
        <v>43073</v>
      </c>
      <c r="R285" s="64">
        <v>46724</v>
      </c>
      <c r="S285" s="62" t="s">
        <v>2440</v>
      </c>
      <c r="T285" s="30" t="s">
        <v>2436</v>
      </c>
      <c r="U285" s="2" t="s">
        <v>2444</v>
      </c>
      <c r="V285" s="1" t="s">
        <v>3696</v>
      </c>
      <c r="W285" s="1" t="s">
        <v>3697</v>
      </c>
      <c r="X285" s="1">
        <v>2642</v>
      </c>
      <c r="Y285" s="60">
        <v>95231.888</v>
      </c>
      <c r="Z285" s="60">
        <v>91867.827</v>
      </c>
      <c r="AA285" s="2" t="s">
        <v>3741</v>
      </c>
      <c r="AB285" s="66"/>
      <c r="AC285" s="66"/>
      <c r="AD285" s="2"/>
      <c r="AE285" s="2"/>
      <c r="AF285" s="2"/>
      <c r="AG285" s="66"/>
      <c r="AH285" s="43"/>
      <c r="AI285" s="43"/>
      <c r="AJ285" s="2"/>
      <c r="AK285" s="1"/>
      <c r="AL285" s="1"/>
      <c r="AM285" s="1"/>
      <c r="AN285" s="44">
        <f t="shared" si="6"/>
        <v>0</v>
      </c>
      <c r="AO285" s="45">
        <f t="shared" si="7"/>
        <v>0</v>
      </c>
      <c r="AP285" s="66"/>
    </row>
    <row r="286" spans="1:42" ht="51" customHeight="1">
      <c r="A286" s="2">
        <v>238</v>
      </c>
      <c r="B286" s="2">
        <v>247</v>
      </c>
      <c r="C286" s="1" t="s">
        <v>2557</v>
      </c>
      <c r="D286" s="1" t="s">
        <v>6</v>
      </c>
      <c r="E286" s="13">
        <v>3</v>
      </c>
      <c r="F286" s="13" t="s">
        <v>1689</v>
      </c>
      <c r="G286" s="2" t="s">
        <v>1690</v>
      </c>
      <c r="H286" s="2" t="s">
        <v>2510</v>
      </c>
      <c r="I286" s="1" t="s">
        <v>4166</v>
      </c>
      <c r="J286" s="1" t="s">
        <v>4127</v>
      </c>
      <c r="K286" s="63">
        <v>29104391</v>
      </c>
      <c r="L286" s="1" t="s">
        <v>2438</v>
      </c>
      <c r="M286" s="1">
        <v>3447000</v>
      </c>
      <c r="N286" s="1" t="s">
        <v>3735</v>
      </c>
      <c r="O286" s="1" t="s">
        <v>4181</v>
      </c>
      <c r="P286" s="1">
        <v>3428</v>
      </c>
      <c r="Q286" s="64">
        <v>43073</v>
      </c>
      <c r="R286" s="64">
        <v>46724</v>
      </c>
      <c r="S286" s="62" t="s">
        <v>2440</v>
      </c>
      <c r="T286" s="29" t="s">
        <v>2441</v>
      </c>
      <c r="U286" s="2" t="s">
        <v>2444</v>
      </c>
      <c r="V286" s="23" t="s">
        <v>3698</v>
      </c>
      <c r="W286" s="23" t="s">
        <v>3699</v>
      </c>
      <c r="X286" s="23">
        <v>2640</v>
      </c>
      <c r="Y286" s="60">
        <v>95254.84</v>
      </c>
      <c r="Z286" s="60">
        <v>91870.15</v>
      </c>
      <c r="AA286" s="2" t="s">
        <v>3868</v>
      </c>
      <c r="AB286" s="83">
        <v>43749</v>
      </c>
      <c r="AC286" s="50">
        <v>0.5611111111111111</v>
      </c>
      <c r="AD286" s="93"/>
      <c r="AE286" s="93"/>
      <c r="AF286" s="93"/>
      <c r="AG286" s="93"/>
      <c r="AH286" s="93"/>
      <c r="AI286" s="93"/>
      <c r="AJ286" s="93"/>
      <c r="AK286" s="93"/>
      <c r="AL286" s="93"/>
      <c r="AM286" s="93"/>
      <c r="AN286" s="117">
        <f t="shared" si="6"/>
        <v>0</v>
      </c>
      <c r="AO286" s="118">
        <f t="shared" si="7"/>
        <v>0</v>
      </c>
      <c r="AP286" s="13" t="s">
        <v>2413</v>
      </c>
    </row>
    <row r="287" spans="1:42" ht="12.75">
      <c r="A287" s="2">
        <v>239</v>
      </c>
      <c r="B287" s="2">
        <v>248</v>
      </c>
      <c r="C287" s="1" t="s">
        <v>79</v>
      </c>
      <c r="D287" s="1" t="s">
        <v>6</v>
      </c>
      <c r="E287" s="1">
        <v>3</v>
      </c>
      <c r="F287" s="1" t="s">
        <v>1691</v>
      </c>
      <c r="G287" s="1" t="s">
        <v>1692</v>
      </c>
      <c r="H287" s="2" t="s">
        <v>2510</v>
      </c>
      <c r="I287" s="1" t="s">
        <v>4166</v>
      </c>
      <c r="J287" s="1" t="s">
        <v>4127</v>
      </c>
      <c r="K287" s="63">
        <v>29104391</v>
      </c>
      <c r="L287" s="1" t="s">
        <v>2438</v>
      </c>
      <c r="M287" s="1">
        <v>3447000</v>
      </c>
      <c r="N287" s="1" t="s">
        <v>3735</v>
      </c>
      <c r="O287" s="1" t="s">
        <v>4181</v>
      </c>
      <c r="P287" s="1">
        <v>3428</v>
      </c>
      <c r="Q287" s="64">
        <v>43073</v>
      </c>
      <c r="R287" s="64">
        <v>46724</v>
      </c>
      <c r="S287" s="62" t="s">
        <v>2440</v>
      </c>
      <c r="T287" s="29" t="s">
        <v>2442</v>
      </c>
      <c r="U287" s="2" t="s">
        <v>2447</v>
      </c>
      <c r="V287" s="1" t="s">
        <v>3700</v>
      </c>
      <c r="W287" s="1" t="s">
        <v>3701</v>
      </c>
      <c r="X287" s="1">
        <v>2613</v>
      </c>
      <c r="Y287" s="60">
        <v>95485.93</v>
      </c>
      <c r="Z287" s="60">
        <v>91817.11</v>
      </c>
      <c r="AA287" s="2" t="s">
        <v>3741</v>
      </c>
      <c r="AB287" s="66"/>
      <c r="AC287" s="66"/>
      <c r="AD287" s="2"/>
      <c r="AE287" s="2"/>
      <c r="AF287" s="2"/>
      <c r="AG287" s="66"/>
      <c r="AH287" s="43"/>
      <c r="AI287" s="43"/>
      <c r="AJ287" s="2"/>
      <c r="AK287" s="1"/>
      <c r="AL287" s="1"/>
      <c r="AM287" s="1"/>
      <c r="AN287" s="44">
        <f t="shared" si="6"/>
        <v>0</v>
      </c>
      <c r="AO287" s="45">
        <f t="shared" si="7"/>
        <v>0</v>
      </c>
      <c r="AP287" s="2" t="s">
        <v>2413</v>
      </c>
    </row>
    <row r="288" spans="1:42" ht="12.75">
      <c r="A288" s="2">
        <v>240</v>
      </c>
      <c r="B288" s="2">
        <v>249</v>
      </c>
      <c r="C288" s="1" t="s">
        <v>79</v>
      </c>
      <c r="D288" s="1" t="s">
        <v>6</v>
      </c>
      <c r="E288" s="1">
        <v>3</v>
      </c>
      <c r="F288" s="1" t="s">
        <v>1693</v>
      </c>
      <c r="G288" s="1" t="s">
        <v>1692</v>
      </c>
      <c r="H288" s="2" t="s">
        <v>2510</v>
      </c>
      <c r="I288" s="1" t="s">
        <v>4166</v>
      </c>
      <c r="J288" s="1" t="s">
        <v>4127</v>
      </c>
      <c r="K288" s="63">
        <v>29104391</v>
      </c>
      <c r="L288" s="1" t="s">
        <v>2438</v>
      </c>
      <c r="M288" s="1">
        <v>3447000</v>
      </c>
      <c r="N288" s="1" t="s">
        <v>3735</v>
      </c>
      <c r="O288" s="1" t="s">
        <v>4181</v>
      </c>
      <c r="P288" s="1">
        <v>3428</v>
      </c>
      <c r="Q288" s="64">
        <v>43073</v>
      </c>
      <c r="R288" s="64">
        <v>46724</v>
      </c>
      <c r="S288" s="62" t="s">
        <v>2440</v>
      </c>
      <c r="T288" s="29" t="s">
        <v>2441</v>
      </c>
      <c r="U288" s="2" t="s">
        <v>2444</v>
      </c>
      <c r="V288" s="1" t="s">
        <v>3702</v>
      </c>
      <c r="W288" s="1" t="s">
        <v>3703</v>
      </c>
      <c r="X288" s="1">
        <v>2613</v>
      </c>
      <c r="Y288" s="60">
        <v>95482.86</v>
      </c>
      <c r="Z288" s="60">
        <v>91823.9</v>
      </c>
      <c r="AA288" s="2" t="s">
        <v>3741</v>
      </c>
      <c r="AB288" s="66"/>
      <c r="AC288" s="66"/>
      <c r="AD288" s="2"/>
      <c r="AE288" s="2"/>
      <c r="AF288" s="2"/>
      <c r="AG288" s="66"/>
      <c r="AH288" s="43"/>
      <c r="AI288" s="43"/>
      <c r="AJ288" s="2"/>
      <c r="AK288" s="1"/>
      <c r="AL288" s="1"/>
      <c r="AM288" s="1"/>
      <c r="AN288" s="44">
        <f t="shared" si="6"/>
        <v>0</v>
      </c>
      <c r="AO288" s="45">
        <f t="shared" si="7"/>
        <v>0</v>
      </c>
      <c r="AP288" s="2" t="s">
        <v>2413</v>
      </c>
    </row>
    <row r="289" spans="1:42" ht="51" customHeight="1">
      <c r="A289" s="2">
        <v>241</v>
      </c>
      <c r="B289" s="2">
        <v>250</v>
      </c>
      <c r="C289" s="1" t="s">
        <v>79</v>
      </c>
      <c r="D289" s="1" t="s">
        <v>6</v>
      </c>
      <c r="E289" s="13">
        <v>3</v>
      </c>
      <c r="F289" s="13" t="s">
        <v>1694</v>
      </c>
      <c r="G289" s="2" t="s">
        <v>1695</v>
      </c>
      <c r="H289" s="2" t="s">
        <v>2510</v>
      </c>
      <c r="I289" s="1" t="s">
        <v>4166</v>
      </c>
      <c r="J289" s="1" t="s">
        <v>4127</v>
      </c>
      <c r="K289" s="63">
        <v>29104391</v>
      </c>
      <c r="L289" s="1" t="s">
        <v>2438</v>
      </c>
      <c r="M289" s="1">
        <v>3447000</v>
      </c>
      <c r="N289" s="1" t="s">
        <v>3735</v>
      </c>
      <c r="O289" s="1" t="s">
        <v>4181</v>
      </c>
      <c r="P289" s="1">
        <v>3428</v>
      </c>
      <c r="Q289" s="64">
        <v>43073</v>
      </c>
      <c r="R289" s="64">
        <v>46724</v>
      </c>
      <c r="S289" s="62" t="s">
        <v>2440</v>
      </c>
      <c r="T289" s="29" t="s">
        <v>2441</v>
      </c>
      <c r="U289" s="2" t="s">
        <v>2444</v>
      </c>
      <c r="V289" s="23" t="s">
        <v>3704</v>
      </c>
      <c r="W289" s="23" t="s">
        <v>3705</v>
      </c>
      <c r="X289" s="23">
        <v>2581</v>
      </c>
      <c r="Y289" s="60">
        <v>96014.48</v>
      </c>
      <c r="Z289" s="60">
        <v>91945.09</v>
      </c>
      <c r="AA289" s="2" t="s">
        <v>3882</v>
      </c>
      <c r="AB289" s="83">
        <v>43328</v>
      </c>
      <c r="AC289" s="50">
        <v>0.6875</v>
      </c>
      <c r="AD289" s="93"/>
      <c r="AE289" s="93"/>
      <c r="AF289" s="93"/>
      <c r="AG289" s="93"/>
      <c r="AH289" s="93"/>
      <c r="AI289" s="93"/>
      <c r="AJ289" s="93"/>
      <c r="AK289" s="93"/>
      <c r="AL289" s="93"/>
      <c r="AM289" s="93"/>
      <c r="AN289" s="44">
        <f t="shared" si="6"/>
        <v>0</v>
      </c>
      <c r="AO289" s="45">
        <f t="shared" si="7"/>
        <v>0</v>
      </c>
      <c r="AP289" s="13" t="s">
        <v>2413</v>
      </c>
    </row>
    <row r="290" spans="1:42" ht="38.25">
      <c r="A290" s="2">
        <v>242</v>
      </c>
      <c r="B290" s="2">
        <v>251</v>
      </c>
      <c r="C290" s="1" t="s">
        <v>1696</v>
      </c>
      <c r="D290" s="1" t="s">
        <v>6</v>
      </c>
      <c r="E290" s="13">
        <v>3</v>
      </c>
      <c r="F290" s="13" t="s">
        <v>2343</v>
      </c>
      <c r="G290" s="2" t="s">
        <v>1697</v>
      </c>
      <c r="H290" s="2" t="s">
        <v>2510</v>
      </c>
      <c r="I290" s="1" t="s">
        <v>4166</v>
      </c>
      <c r="J290" s="1" t="s">
        <v>4127</v>
      </c>
      <c r="K290" s="63">
        <v>29104391</v>
      </c>
      <c r="L290" s="1" t="s">
        <v>2438</v>
      </c>
      <c r="M290" s="1">
        <v>3447000</v>
      </c>
      <c r="N290" s="1" t="s">
        <v>3735</v>
      </c>
      <c r="O290" s="1" t="s">
        <v>4181</v>
      </c>
      <c r="P290" s="1">
        <v>3428</v>
      </c>
      <c r="Q290" s="64">
        <v>43073</v>
      </c>
      <c r="R290" s="64">
        <v>46724</v>
      </c>
      <c r="S290" s="62" t="s">
        <v>2440</v>
      </c>
      <c r="T290" s="30" t="s">
        <v>2436</v>
      </c>
      <c r="U290" s="9" t="s">
        <v>2443</v>
      </c>
      <c r="V290" s="23" t="s">
        <v>3706</v>
      </c>
      <c r="W290" s="23" t="s">
        <v>3707</v>
      </c>
      <c r="X290" s="23">
        <v>2583</v>
      </c>
      <c r="Y290" s="60">
        <v>96136.17</v>
      </c>
      <c r="Z290" s="60">
        <v>91914.877</v>
      </c>
      <c r="AA290" s="2" t="s">
        <v>3741</v>
      </c>
      <c r="AB290" s="66"/>
      <c r="AC290" s="66"/>
      <c r="AD290" s="2"/>
      <c r="AE290" s="2"/>
      <c r="AF290" s="2"/>
      <c r="AG290" s="66"/>
      <c r="AH290" s="43"/>
      <c r="AI290" s="43"/>
      <c r="AJ290" s="2"/>
      <c r="AK290" s="1"/>
      <c r="AL290" s="1"/>
      <c r="AM290" s="1"/>
      <c r="AN290" s="44">
        <f t="shared" si="6"/>
        <v>0</v>
      </c>
      <c r="AO290" s="45">
        <f t="shared" si="7"/>
        <v>0</v>
      </c>
      <c r="AP290" s="66"/>
    </row>
    <row r="291" spans="1:42" ht="45" customHeight="1">
      <c r="A291" s="2">
        <v>243</v>
      </c>
      <c r="B291" s="2">
        <v>252</v>
      </c>
      <c r="C291" s="1" t="s">
        <v>79</v>
      </c>
      <c r="D291" s="1" t="s">
        <v>6</v>
      </c>
      <c r="E291" s="13">
        <v>3</v>
      </c>
      <c r="F291" s="13" t="s">
        <v>1698</v>
      </c>
      <c r="G291" s="2" t="s">
        <v>1699</v>
      </c>
      <c r="H291" s="2" t="s">
        <v>2510</v>
      </c>
      <c r="I291" s="1" t="s">
        <v>4166</v>
      </c>
      <c r="J291" s="1" t="s">
        <v>4127</v>
      </c>
      <c r="K291" s="63">
        <v>29104391</v>
      </c>
      <c r="L291" s="1" t="s">
        <v>2438</v>
      </c>
      <c r="M291" s="1">
        <v>3447000</v>
      </c>
      <c r="N291" s="1" t="s">
        <v>3735</v>
      </c>
      <c r="O291" s="1" t="s">
        <v>4181</v>
      </c>
      <c r="P291" s="1">
        <v>3428</v>
      </c>
      <c r="Q291" s="64">
        <v>43073</v>
      </c>
      <c r="R291" s="64">
        <v>46724</v>
      </c>
      <c r="S291" s="62" t="s">
        <v>2440</v>
      </c>
      <c r="T291" s="29" t="s">
        <v>2442</v>
      </c>
      <c r="U291" s="2" t="s">
        <v>2444</v>
      </c>
      <c r="V291" s="23" t="s">
        <v>3708</v>
      </c>
      <c r="W291" s="23" t="s">
        <v>3709</v>
      </c>
      <c r="X291" s="23">
        <v>2580</v>
      </c>
      <c r="Y291" s="60">
        <v>96212.68</v>
      </c>
      <c r="Z291" s="60">
        <v>91991.97</v>
      </c>
      <c r="AA291" s="2" t="s">
        <v>3882</v>
      </c>
      <c r="AB291" s="83">
        <v>43328</v>
      </c>
      <c r="AC291" s="50">
        <v>0.6875</v>
      </c>
      <c r="AD291" s="93"/>
      <c r="AE291" s="93"/>
      <c r="AF291" s="93"/>
      <c r="AG291" s="93"/>
      <c r="AH291" s="93"/>
      <c r="AI291" s="93"/>
      <c r="AJ291" s="93"/>
      <c r="AK291" s="93"/>
      <c r="AL291" s="93"/>
      <c r="AM291" s="93"/>
      <c r="AN291" s="44">
        <f t="shared" si="6"/>
        <v>0</v>
      </c>
      <c r="AO291" s="45">
        <f t="shared" si="7"/>
        <v>0</v>
      </c>
      <c r="AP291" s="13" t="s">
        <v>2413</v>
      </c>
    </row>
    <row r="292" spans="1:42" ht="12.75">
      <c r="A292" s="2">
        <v>244</v>
      </c>
      <c r="B292" s="2">
        <v>253</v>
      </c>
      <c r="C292" s="1" t="s">
        <v>79</v>
      </c>
      <c r="D292" s="1" t="s">
        <v>6</v>
      </c>
      <c r="E292" s="1">
        <v>3</v>
      </c>
      <c r="F292" s="1" t="s">
        <v>1700</v>
      </c>
      <c r="G292" s="1" t="s">
        <v>1701</v>
      </c>
      <c r="H292" s="2" t="s">
        <v>2510</v>
      </c>
      <c r="I292" s="1" t="s">
        <v>4166</v>
      </c>
      <c r="J292" s="1" t="s">
        <v>4127</v>
      </c>
      <c r="K292" s="63">
        <v>29104391</v>
      </c>
      <c r="L292" s="1" t="s">
        <v>2438</v>
      </c>
      <c r="M292" s="1">
        <v>3447000</v>
      </c>
      <c r="N292" s="1" t="s">
        <v>3735</v>
      </c>
      <c r="O292" s="1" t="s">
        <v>4181</v>
      </c>
      <c r="P292" s="1">
        <v>3428</v>
      </c>
      <c r="Q292" s="64">
        <v>43073</v>
      </c>
      <c r="R292" s="64">
        <v>46724</v>
      </c>
      <c r="S292" s="62" t="s">
        <v>2440</v>
      </c>
      <c r="T292" s="29" t="s">
        <v>2442</v>
      </c>
      <c r="U292" s="2" t="s">
        <v>2443</v>
      </c>
      <c r="V292" s="1" t="s">
        <v>3710</v>
      </c>
      <c r="W292" s="1" t="s">
        <v>3711</v>
      </c>
      <c r="X292" s="1">
        <v>2577</v>
      </c>
      <c r="Y292" s="60">
        <v>96279.67</v>
      </c>
      <c r="Z292" s="60">
        <v>92089.72</v>
      </c>
      <c r="AA292" s="2" t="s">
        <v>3741</v>
      </c>
      <c r="AB292" s="66"/>
      <c r="AC292" s="66"/>
      <c r="AD292" s="2"/>
      <c r="AE292" s="2"/>
      <c r="AF292" s="2"/>
      <c r="AG292" s="66"/>
      <c r="AH292" s="43"/>
      <c r="AI292" s="43"/>
      <c r="AJ292" s="2"/>
      <c r="AK292" s="1"/>
      <c r="AL292" s="1"/>
      <c r="AM292" s="1"/>
      <c r="AN292" s="44">
        <f t="shared" si="6"/>
        <v>0</v>
      </c>
      <c r="AO292" s="45">
        <f t="shared" si="7"/>
        <v>0</v>
      </c>
      <c r="AP292" s="2" t="s">
        <v>2413</v>
      </c>
    </row>
    <row r="293" spans="1:42" ht="12.75">
      <c r="A293" s="2">
        <v>245</v>
      </c>
      <c r="B293" s="2">
        <v>254</v>
      </c>
      <c r="C293" s="1" t="s">
        <v>79</v>
      </c>
      <c r="D293" s="1" t="s">
        <v>6</v>
      </c>
      <c r="E293" s="1">
        <v>3</v>
      </c>
      <c r="F293" s="1" t="s">
        <v>1702</v>
      </c>
      <c r="G293" s="1" t="s">
        <v>1701</v>
      </c>
      <c r="H293" s="2" t="s">
        <v>2510</v>
      </c>
      <c r="I293" s="1" t="s">
        <v>4166</v>
      </c>
      <c r="J293" s="1" t="s">
        <v>4127</v>
      </c>
      <c r="K293" s="63">
        <v>29104391</v>
      </c>
      <c r="L293" s="1" t="s">
        <v>2438</v>
      </c>
      <c r="M293" s="1">
        <v>3447000</v>
      </c>
      <c r="N293" s="1" t="s">
        <v>3735</v>
      </c>
      <c r="O293" s="1" t="s">
        <v>4181</v>
      </c>
      <c r="P293" s="1">
        <v>3428</v>
      </c>
      <c r="Q293" s="64">
        <v>43073</v>
      </c>
      <c r="R293" s="64">
        <v>46724</v>
      </c>
      <c r="S293" s="62" t="s">
        <v>2440</v>
      </c>
      <c r="T293" s="29" t="s">
        <v>2442</v>
      </c>
      <c r="U293" s="2" t="s">
        <v>2447</v>
      </c>
      <c r="V293" s="1" t="s">
        <v>3712</v>
      </c>
      <c r="W293" s="1" t="s">
        <v>3713</v>
      </c>
      <c r="X293" s="1">
        <v>2577</v>
      </c>
      <c r="Y293" s="60">
        <v>96280.29</v>
      </c>
      <c r="Z293" s="60">
        <v>92094.04</v>
      </c>
      <c r="AA293" s="2" t="s">
        <v>3741</v>
      </c>
      <c r="AB293" s="66"/>
      <c r="AC293" s="66"/>
      <c r="AD293" s="2"/>
      <c r="AE293" s="2"/>
      <c r="AF293" s="2"/>
      <c r="AG293" s="66"/>
      <c r="AH293" s="43"/>
      <c r="AI293" s="43"/>
      <c r="AJ293" s="2"/>
      <c r="AK293" s="1"/>
      <c r="AL293" s="1"/>
      <c r="AM293" s="1"/>
      <c r="AN293" s="44">
        <f t="shared" si="6"/>
        <v>0</v>
      </c>
      <c r="AO293" s="45">
        <f t="shared" si="7"/>
        <v>0</v>
      </c>
      <c r="AP293" s="2" t="s">
        <v>2413</v>
      </c>
    </row>
    <row r="294" spans="1:42" ht="45" customHeight="1">
      <c r="A294" s="2">
        <v>246</v>
      </c>
      <c r="B294" s="2">
        <v>255</v>
      </c>
      <c r="C294" s="1" t="s">
        <v>79</v>
      </c>
      <c r="D294" s="1" t="s">
        <v>6</v>
      </c>
      <c r="E294" s="13">
        <v>3</v>
      </c>
      <c r="F294" s="13" t="s">
        <v>1703</v>
      </c>
      <c r="G294" s="2" t="s">
        <v>1704</v>
      </c>
      <c r="H294" s="2" t="s">
        <v>2510</v>
      </c>
      <c r="I294" s="1" t="s">
        <v>4166</v>
      </c>
      <c r="J294" s="1" t="s">
        <v>4127</v>
      </c>
      <c r="K294" s="63">
        <v>29104391</v>
      </c>
      <c r="L294" s="1" t="s">
        <v>2438</v>
      </c>
      <c r="M294" s="1">
        <v>3447000</v>
      </c>
      <c r="N294" s="1" t="s">
        <v>3735</v>
      </c>
      <c r="O294" s="1" t="s">
        <v>4181</v>
      </c>
      <c r="P294" s="1">
        <v>3428</v>
      </c>
      <c r="Q294" s="64">
        <v>43073</v>
      </c>
      <c r="R294" s="64">
        <v>46724</v>
      </c>
      <c r="S294" s="62" t="s">
        <v>2440</v>
      </c>
      <c r="T294" s="29" t="s">
        <v>2441</v>
      </c>
      <c r="U294" s="2" t="s">
        <v>2444</v>
      </c>
      <c r="V294" s="23" t="s">
        <v>3714</v>
      </c>
      <c r="W294" s="23" t="s">
        <v>3715</v>
      </c>
      <c r="X294" s="23">
        <v>2574</v>
      </c>
      <c r="Y294" s="60">
        <v>96354.96</v>
      </c>
      <c r="Z294" s="60">
        <v>92200.12</v>
      </c>
      <c r="AA294" s="2" t="s">
        <v>3882</v>
      </c>
      <c r="AB294" s="83">
        <v>43328</v>
      </c>
      <c r="AC294" s="50">
        <v>0.6875</v>
      </c>
      <c r="AD294" s="93"/>
      <c r="AE294" s="93"/>
      <c r="AF294" s="93"/>
      <c r="AG294" s="93"/>
      <c r="AH294" s="93"/>
      <c r="AI294" s="93"/>
      <c r="AJ294" s="93"/>
      <c r="AK294" s="93"/>
      <c r="AL294" s="93"/>
      <c r="AM294" s="93"/>
      <c r="AN294" s="44">
        <f t="shared" si="6"/>
        <v>0</v>
      </c>
      <c r="AO294" s="45">
        <f t="shared" si="7"/>
        <v>0</v>
      </c>
      <c r="AP294" s="13" t="s">
        <v>2413</v>
      </c>
    </row>
    <row r="295" spans="1:42" ht="12.75">
      <c r="A295" s="2">
        <v>247</v>
      </c>
      <c r="B295" s="2">
        <v>256</v>
      </c>
      <c r="C295" s="1" t="s">
        <v>79</v>
      </c>
      <c r="D295" s="1" t="s">
        <v>6</v>
      </c>
      <c r="E295" s="1">
        <v>3</v>
      </c>
      <c r="F295" s="1" t="s">
        <v>1705</v>
      </c>
      <c r="G295" s="1" t="s">
        <v>1706</v>
      </c>
      <c r="H295" s="2" t="s">
        <v>2510</v>
      </c>
      <c r="I295" s="1" t="s">
        <v>4166</v>
      </c>
      <c r="J295" s="1" t="s">
        <v>4127</v>
      </c>
      <c r="K295" s="63">
        <v>29104391</v>
      </c>
      <c r="L295" s="1" t="s">
        <v>2438</v>
      </c>
      <c r="M295" s="1">
        <v>3447000</v>
      </c>
      <c r="N295" s="1" t="s">
        <v>3735</v>
      </c>
      <c r="O295" s="1" t="s">
        <v>4181</v>
      </c>
      <c r="P295" s="1">
        <v>3428</v>
      </c>
      <c r="Q295" s="64">
        <v>43073</v>
      </c>
      <c r="R295" s="64">
        <v>46724</v>
      </c>
      <c r="S295" s="62" t="s">
        <v>2440</v>
      </c>
      <c r="T295" s="29" t="s">
        <v>2442</v>
      </c>
      <c r="U295" s="2" t="s">
        <v>2444</v>
      </c>
      <c r="V295" s="1" t="s">
        <v>3716</v>
      </c>
      <c r="W295" s="1" t="s">
        <v>3717</v>
      </c>
      <c r="X295" s="1">
        <v>2569</v>
      </c>
      <c r="Y295" s="60">
        <v>96570.06</v>
      </c>
      <c r="Z295" s="60">
        <v>92205.67</v>
      </c>
      <c r="AA295" s="2" t="s">
        <v>3741</v>
      </c>
      <c r="AB295" s="66"/>
      <c r="AC295" s="66"/>
      <c r="AD295" s="2"/>
      <c r="AE295" s="2"/>
      <c r="AF295" s="2"/>
      <c r="AG295" s="66"/>
      <c r="AH295" s="43"/>
      <c r="AI295" s="43"/>
      <c r="AJ295" s="2"/>
      <c r="AK295" s="1"/>
      <c r="AL295" s="1"/>
      <c r="AM295" s="1"/>
      <c r="AN295" s="44">
        <f t="shared" si="6"/>
        <v>0</v>
      </c>
      <c r="AO295" s="45">
        <f t="shared" si="7"/>
        <v>0</v>
      </c>
      <c r="AP295" s="2" t="s">
        <v>2413</v>
      </c>
    </row>
    <row r="296" spans="1:42" ht="12.75">
      <c r="A296" s="2">
        <v>248</v>
      </c>
      <c r="B296" s="2">
        <v>257</v>
      </c>
      <c r="C296" s="1" t="s">
        <v>79</v>
      </c>
      <c r="D296" s="1" t="s">
        <v>6</v>
      </c>
      <c r="E296" s="1">
        <v>3</v>
      </c>
      <c r="F296" s="1" t="s">
        <v>1707</v>
      </c>
      <c r="G296" s="1" t="s">
        <v>1706</v>
      </c>
      <c r="H296" s="2" t="s">
        <v>2510</v>
      </c>
      <c r="I296" s="1" t="s">
        <v>4166</v>
      </c>
      <c r="J296" s="1" t="s">
        <v>4127</v>
      </c>
      <c r="K296" s="63">
        <v>29104391</v>
      </c>
      <c r="L296" s="1" t="s">
        <v>2438</v>
      </c>
      <c r="M296" s="1">
        <v>3447000</v>
      </c>
      <c r="N296" s="1" t="s">
        <v>3735</v>
      </c>
      <c r="O296" s="1" t="s">
        <v>4181</v>
      </c>
      <c r="P296" s="1">
        <v>3428</v>
      </c>
      <c r="Q296" s="64">
        <v>43073</v>
      </c>
      <c r="R296" s="64">
        <v>46724</v>
      </c>
      <c r="S296" s="62" t="s">
        <v>2440</v>
      </c>
      <c r="T296" s="29" t="s">
        <v>2442</v>
      </c>
      <c r="U296" s="2" t="s">
        <v>2444</v>
      </c>
      <c r="V296" s="1" t="s">
        <v>3716</v>
      </c>
      <c r="W296" s="1" t="s">
        <v>3718</v>
      </c>
      <c r="X296" s="1">
        <v>2569</v>
      </c>
      <c r="Y296" s="60">
        <v>96570.06</v>
      </c>
      <c r="Z296" s="60">
        <v>92215.53</v>
      </c>
      <c r="AA296" s="2" t="s">
        <v>3741</v>
      </c>
      <c r="AB296" s="66"/>
      <c r="AC296" s="66"/>
      <c r="AD296" s="2"/>
      <c r="AE296" s="2"/>
      <c r="AF296" s="2"/>
      <c r="AG296" s="66"/>
      <c r="AH296" s="43"/>
      <c r="AI296" s="43"/>
      <c r="AJ296" s="2"/>
      <c r="AK296" s="1"/>
      <c r="AL296" s="1"/>
      <c r="AM296" s="1"/>
      <c r="AN296" s="44">
        <f t="shared" si="6"/>
        <v>0</v>
      </c>
      <c r="AO296" s="45">
        <f t="shared" si="7"/>
        <v>0</v>
      </c>
      <c r="AP296" s="2" t="s">
        <v>2413</v>
      </c>
    </row>
    <row r="297" spans="1:42" ht="12.75">
      <c r="A297" s="2">
        <v>249</v>
      </c>
      <c r="B297" s="2">
        <v>258</v>
      </c>
      <c r="C297" s="1" t="s">
        <v>79</v>
      </c>
      <c r="D297" s="1" t="s">
        <v>6</v>
      </c>
      <c r="E297" s="1">
        <v>3</v>
      </c>
      <c r="F297" s="1" t="s">
        <v>1708</v>
      </c>
      <c r="G297" s="1" t="s">
        <v>1709</v>
      </c>
      <c r="H297" s="2" t="s">
        <v>2510</v>
      </c>
      <c r="I297" s="1" t="s">
        <v>4166</v>
      </c>
      <c r="J297" s="1" t="s">
        <v>4127</v>
      </c>
      <c r="K297" s="63">
        <v>29104391</v>
      </c>
      <c r="L297" s="1" t="s">
        <v>2438</v>
      </c>
      <c r="M297" s="1">
        <v>3447000</v>
      </c>
      <c r="N297" s="1" t="s">
        <v>3735</v>
      </c>
      <c r="O297" s="1" t="s">
        <v>4181</v>
      </c>
      <c r="P297" s="1">
        <v>3428</v>
      </c>
      <c r="Q297" s="64">
        <v>43073</v>
      </c>
      <c r="R297" s="64">
        <v>46724</v>
      </c>
      <c r="S297" s="62" t="s">
        <v>2440</v>
      </c>
      <c r="T297" s="29" t="s">
        <v>2442</v>
      </c>
      <c r="U297" s="2" t="s">
        <v>2444</v>
      </c>
      <c r="V297" s="1" t="s">
        <v>3719</v>
      </c>
      <c r="W297" s="1" t="s">
        <v>3720</v>
      </c>
      <c r="X297" s="1">
        <v>2570</v>
      </c>
      <c r="Y297" s="60">
        <v>96522.74</v>
      </c>
      <c r="Z297" s="60">
        <v>92227.87</v>
      </c>
      <c r="AA297" s="2" t="s">
        <v>3741</v>
      </c>
      <c r="AB297" s="66"/>
      <c r="AC297" s="66"/>
      <c r="AD297" s="2"/>
      <c r="AE297" s="2"/>
      <c r="AF297" s="2"/>
      <c r="AG297" s="66"/>
      <c r="AH297" s="43"/>
      <c r="AI297" s="43"/>
      <c r="AJ297" s="2"/>
      <c r="AK297" s="1"/>
      <c r="AL297" s="1"/>
      <c r="AM297" s="1"/>
      <c r="AN297" s="44">
        <f t="shared" si="6"/>
        <v>0</v>
      </c>
      <c r="AO297" s="45">
        <f t="shared" si="7"/>
        <v>0</v>
      </c>
      <c r="AP297" s="2" t="s">
        <v>2413</v>
      </c>
    </row>
    <row r="298" spans="1:42" ht="12.75">
      <c r="A298" s="2">
        <v>250</v>
      </c>
      <c r="B298" s="2">
        <v>259</v>
      </c>
      <c r="C298" s="1" t="s">
        <v>79</v>
      </c>
      <c r="D298" s="1" t="s">
        <v>6</v>
      </c>
      <c r="E298" s="1">
        <v>3</v>
      </c>
      <c r="F298" s="1" t="s">
        <v>1710</v>
      </c>
      <c r="G298" s="1" t="s">
        <v>1711</v>
      </c>
      <c r="H298" s="2" t="s">
        <v>2510</v>
      </c>
      <c r="I298" s="1" t="s">
        <v>4166</v>
      </c>
      <c r="J298" s="1" t="s">
        <v>4127</v>
      </c>
      <c r="K298" s="63">
        <v>29104391</v>
      </c>
      <c r="L298" s="1" t="s">
        <v>2438</v>
      </c>
      <c r="M298" s="1">
        <v>3447000</v>
      </c>
      <c r="N298" s="1" t="s">
        <v>3735</v>
      </c>
      <c r="O298" s="1" t="s">
        <v>4181</v>
      </c>
      <c r="P298" s="1">
        <v>3428</v>
      </c>
      <c r="Q298" s="64">
        <v>43073</v>
      </c>
      <c r="R298" s="64">
        <v>46724</v>
      </c>
      <c r="S298" s="62" t="s">
        <v>2440</v>
      </c>
      <c r="T298" s="29" t="s">
        <v>2442</v>
      </c>
      <c r="U298" s="2" t="s">
        <v>2443</v>
      </c>
      <c r="V298" s="1" t="s">
        <v>3721</v>
      </c>
      <c r="W298" s="1" t="s">
        <v>3722</v>
      </c>
      <c r="X298" s="1">
        <v>2567</v>
      </c>
      <c r="Y298" s="60">
        <v>96749.52</v>
      </c>
      <c r="Z298" s="60">
        <v>92139.06</v>
      </c>
      <c r="AA298" s="2" t="s">
        <v>3741</v>
      </c>
      <c r="AB298" s="66"/>
      <c r="AC298" s="66"/>
      <c r="AD298" s="2"/>
      <c r="AE298" s="2"/>
      <c r="AF298" s="2"/>
      <c r="AG298" s="66"/>
      <c r="AH298" s="43"/>
      <c r="AI298" s="43"/>
      <c r="AJ298" s="2"/>
      <c r="AK298" s="1"/>
      <c r="AL298" s="1"/>
      <c r="AM298" s="1"/>
      <c r="AN298" s="44">
        <f t="shared" si="6"/>
        <v>0</v>
      </c>
      <c r="AO298" s="45">
        <f t="shared" si="7"/>
        <v>0</v>
      </c>
      <c r="AP298" s="2" t="s">
        <v>2413</v>
      </c>
    </row>
    <row r="299" spans="1:42" ht="48.75" customHeight="1">
      <c r="A299" s="2">
        <v>251</v>
      </c>
      <c r="B299" s="2">
        <v>260</v>
      </c>
      <c r="C299" s="1" t="s">
        <v>79</v>
      </c>
      <c r="D299" s="1" t="s">
        <v>6</v>
      </c>
      <c r="E299" s="13">
        <v>3</v>
      </c>
      <c r="F299" s="13" t="s">
        <v>1712</v>
      </c>
      <c r="G299" s="2" t="s">
        <v>1713</v>
      </c>
      <c r="H299" s="2" t="s">
        <v>2510</v>
      </c>
      <c r="I299" s="1" t="s">
        <v>4166</v>
      </c>
      <c r="J299" s="1" t="s">
        <v>4127</v>
      </c>
      <c r="K299" s="63">
        <v>29104391</v>
      </c>
      <c r="L299" s="1" t="s">
        <v>2438</v>
      </c>
      <c r="M299" s="1">
        <v>3447000</v>
      </c>
      <c r="N299" s="1" t="s">
        <v>3735</v>
      </c>
      <c r="O299" s="1" t="s">
        <v>4181</v>
      </c>
      <c r="P299" s="1">
        <v>3428</v>
      </c>
      <c r="Q299" s="64">
        <v>43073</v>
      </c>
      <c r="R299" s="64">
        <v>46724</v>
      </c>
      <c r="S299" s="62" t="s">
        <v>2440</v>
      </c>
      <c r="T299" s="29" t="s">
        <v>2442</v>
      </c>
      <c r="U299" s="2" t="s">
        <v>2444</v>
      </c>
      <c r="V299" s="23" t="s">
        <v>3723</v>
      </c>
      <c r="W299" s="23" t="s">
        <v>3724</v>
      </c>
      <c r="X299" s="23">
        <v>2568</v>
      </c>
      <c r="Y299" s="60">
        <v>96809.14</v>
      </c>
      <c r="Z299" s="60">
        <v>92126.73</v>
      </c>
      <c r="AA299" s="2" t="s">
        <v>3882</v>
      </c>
      <c r="AB299" s="83">
        <v>43328</v>
      </c>
      <c r="AC299" s="50">
        <v>0.6875</v>
      </c>
      <c r="AD299" s="93"/>
      <c r="AE299" s="93"/>
      <c r="AF299" s="93"/>
      <c r="AG299" s="93"/>
      <c r="AH299" s="93"/>
      <c r="AI299" s="93"/>
      <c r="AJ299" s="93"/>
      <c r="AK299" s="93"/>
      <c r="AL299" s="93"/>
      <c r="AM299" s="93"/>
      <c r="AN299" s="44">
        <f t="shared" si="6"/>
        <v>0</v>
      </c>
      <c r="AO299" s="45">
        <f t="shared" si="7"/>
        <v>0</v>
      </c>
      <c r="AP299" s="13" t="s">
        <v>2413</v>
      </c>
    </row>
    <row r="300" spans="1:42" ht="12.75">
      <c r="A300" s="2">
        <v>252</v>
      </c>
      <c r="B300" s="2">
        <v>261</v>
      </c>
      <c r="C300" s="1" t="s">
        <v>79</v>
      </c>
      <c r="D300" s="1" t="s">
        <v>6</v>
      </c>
      <c r="E300" s="1">
        <v>3</v>
      </c>
      <c r="F300" s="1" t="s">
        <v>1714</v>
      </c>
      <c r="G300" s="1" t="s">
        <v>1715</v>
      </c>
      <c r="H300" s="2" t="s">
        <v>2510</v>
      </c>
      <c r="I300" s="1" t="s">
        <v>4166</v>
      </c>
      <c r="J300" s="1" t="s">
        <v>4127</v>
      </c>
      <c r="K300" s="63">
        <v>29104391</v>
      </c>
      <c r="L300" s="1" t="s">
        <v>2438</v>
      </c>
      <c r="M300" s="1">
        <v>3447000</v>
      </c>
      <c r="N300" s="1" t="s">
        <v>3735</v>
      </c>
      <c r="O300" s="1" t="s">
        <v>4181</v>
      </c>
      <c r="P300" s="1">
        <v>3428</v>
      </c>
      <c r="Q300" s="64">
        <v>43073</v>
      </c>
      <c r="R300" s="64">
        <v>46724</v>
      </c>
      <c r="S300" s="62" t="s">
        <v>2440</v>
      </c>
      <c r="T300" s="29" t="s">
        <v>2442</v>
      </c>
      <c r="U300" s="2" t="s">
        <v>2443</v>
      </c>
      <c r="V300" s="1" t="s">
        <v>3725</v>
      </c>
      <c r="W300" s="1" t="s">
        <v>3726</v>
      </c>
      <c r="X300" s="23">
        <v>2568</v>
      </c>
      <c r="Y300" s="60">
        <v>96872.14</v>
      </c>
      <c r="Z300" s="60">
        <v>92121.17</v>
      </c>
      <c r="AA300" s="2" t="s">
        <v>3741</v>
      </c>
      <c r="AB300" s="66"/>
      <c r="AC300" s="66"/>
      <c r="AD300" s="2"/>
      <c r="AE300" s="2"/>
      <c r="AF300" s="2"/>
      <c r="AG300" s="66"/>
      <c r="AH300" s="43"/>
      <c r="AI300" s="43"/>
      <c r="AJ300" s="2"/>
      <c r="AK300" s="1"/>
      <c r="AL300" s="1"/>
      <c r="AM300" s="1"/>
      <c r="AN300" s="44">
        <f t="shared" si="6"/>
        <v>0</v>
      </c>
      <c r="AO300" s="45">
        <f t="shared" si="7"/>
        <v>0</v>
      </c>
      <c r="AP300" s="2" t="s">
        <v>2413</v>
      </c>
    </row>
    <row r="301" spans="1:42" ht="12.75">
      <c r="A301" s="2">
        <v>253</v>
      </c>
      <c r="B301" s="2">
        <v>262</v>
      </c>
      <c r="C301" s="1" t="s">
        <v>79</v>
      </c>
      <c r="D301" s="1" t="s">
        <v>6</v>
      </c>
      <c r="E301" s="1">
        <v>3</v>
      </c>
      <c r="F301" s="1" t="s">
        <v>1716</v>
      </c>
      <c r="G301" s="1" t="s">
        <v>1717</v>
      </c>
      <c r="H301" s="2" t="s">
        <v>2510</v>
      </c>
      <c r="I301" s="1" t="s">
        <v>4166</v>
      </c>
      <c r="J301" s="1" t="s">
        <v>4127</v>
      </c>
      <c r="K301" s="63">
        <v>29104391</v>
      </c>
      <c r="L301" s="1" t="s">
        <v>2438</v>
      </c>
      <c r="M301" s="1">
        <v>3447000</v>
      </c>
      <c r="N301" s="1" t="s">
        <v>3735</v>
      </c>
      <c r="O301" s="1" t="s">
        <v>4181</v>
      </c>
      <c r="P301" s="1">
        <v>3428</v>
      </c>
      <c r="Q301" s="64">
        <v>43073</v>
      </c>
      <c r="R301" s="64">
        <v>46724</v>
      </c>
      <c r="S301" s="62" t="s">
        <v>2440</v>
      </c>
      <c r="T301" s="29" t="s">
        <v>2442</v>
      </c>
      <c r="U301" s="2" t="s">
        <v>2443</v>
      </c>
      <c r="V301" s="1" t="s">
        <v>3727</v>
      </c>
      <c r="W301" s="1" t="s">
        <v>3728</v>
      </c>
      <c r="X301" s="1">
        <v>2565</v>
      </c>
      <c r="Y301" s="60">
        <v>96996.9</v>
      </c>
      <c r="Z301" s="60">
        <v>92163.11</v>
      </c>
      <c r="AA301" s="2" t="s">
        <v>3741</v>
      </c>
      <c r="AB301" s="66"/>
      <c r="AC301" s="66"/>
      <c r="AD301" s="2"/>
      <c r="AE301" s="2"/>
      <c r="AF301" s="2"/>
      <c r="AG301" s="66"/>
      <c r="AH301" s="43"/>
      <c r="AI301" s="43"/>
      <c r="AJ301" s="2"/>
      <c r="AK301" s="1"/>
      <c r="AL301" s="1"/>
      <c r="AM301" s="1"/>
      <c r="AN301" s="44">
        <f t="shared" si="6"/>
        <v>0</v>
      </c>
      <c r="AO301" s="45">
        <f t="shared" si="7"/>
        <v>0</v>
      </c>
      <c r="AP301" s="2" t="s">
        <v>2413</v>
      </c>
    </row>
    <row r="302" spans="1:42" ht="48.75" customHeight="1">
      <c r="A302" s="2">
        <v>254</v>
      </c>
      <c r="B302" s="2">
        <v>263</v>
      </c>
      <c r="C302" s="1" t="s">
        <v>79</v>
      </c>
      <c r="D302" s="1" t="s">
        <v>6</v>
      </c>
      <c r="E302" s="13">
        <v>3</v>
      </c>
      <c r="F302" s="13" t="s">
        <v>1718</v>
      </c>
      <c r="G302" s="2" t="s">
        <v>1719</v>
      </c>
      <c r="H302" s="2" t="s">
        <v>2510</v>
      </c>
      <c r="I302" s="1" t="s">
        <v>4166</v>
      </c>
      <c r="J302" s="1" t="s">
        <v>4127</v>
      </c>
      <c r="K302" s="63">
        <v>29104391</v>
      </c>
      <c r="L302" s="1" t="s">
        <v>2438</v>
      </c>
      <c r="M302" s="1">
        <v>3447000</v>
      </c>
      <c r="N302" s="1" t="s">
        <v>3735</v>
      </c>
      <c r="O302" s="1" t="s">
        <v>4181</v>
      </c>
      <c r="P302" s="1">
        <v>3428</v>
      </c>
      <c r="Q302" s="64">
        <v>43073</v>
      </c>
      <c r="R302" s="64">
        <v>46724</v>
      </c>
      <c r="S302" s="62" t="s">
        <v>2440</v>
      </c>
      <c r="T302" s="29" t="s">
        <v>2442</v>
      </c>
      <c r="U302" s="2" t="s">
        <v>2444</v>
      </c>
      <c r="V302" s="23" t="s">
        <v>3729</v>
      </c>
      <c r="W302" s="23" t="s">
        <v>3730</v>
      </c>
      <c r="X302" s="23">
        <v>2563</v>
      </c>
      <c r="Y302" s="60">
        <v>97039.61</v>
      </c>
      <c r="Z302" s="60">
        <v>92190.25</v>
      </c>
      <c r="AA302" s="2" t="s">
        <v>3883</v>
      </c>
      <c r="AB302" s="83">
        <v>43328</v>
      </c>
      <c r="AC302" s="50">
        <v>0.6875</v>
      </c>
      <c r="AD302" s="93"/>
      <c r="AE302" s="93"/>
      <c r="AF302" s="93"/>
      <c r="AG302" s="93"/>
      <c r="AH302" s="93"/>
      <c r="AI302" s="93"/>
      <c r="AJ302" s="93"/>
      <c r="AK302" s="93"/>
      <c r="AL302" s="93"/>
      <c r="AM302" s="93"/>
      <c r="AN302" s="44">
        <f t="shared" si="6"/>
        <v>0</v>
      </c>
      <c r="AO302" s="45">
        <f t="shared" si="7"/>
        <v>0</v>
      </c>
      <c r="AP302" s="13" t="s">
        <v>2413</v>
      </c>
    </row>
    <row r="303" spans="1:42" ht="53.25" customHeight="1">
      <c r="A303" s="2">
        <v>255</v>
      </c>
      <c r="B303" s="2">
        <v>264</v>
      </c>
      <c r="C303" s="1" t="s">
        <v>81</v>
      </c>
      <c r="D303" s="1" t="s">
        <v>6</v>
      </c>
      <c r="E303" s="13">
        <v>3</v>
      </c>
      <c r="F303" s="13" t="s">
        <v>1793</v>
      </c>
      <c r="G303" s="2" t="s">
        <v>1794</v>
      </c>
      <c r="H303" s="2" t="s">
        <v>2510</v>
      </c>
      <c r="I303" s="1" t="s">
        <v>4166</v>
      </c>
      <c r="J303" s="1" t="s">
        <v>4127</v>
      </c>
      <c r="K303" s="63">
        <v>29104391</v>
      </c>
      <c r="L303" s="1" t="s">
        <v>2438</v>
      </c>
      <c r="M303" s="1">
        <v>3447000</v>
      </c>
      <c r="N303" s="1" t="s">
        <v>3735</v>
      </c>
      <c r="O303" s="1" t="s">
        <v>4181</v>
      </c>
      <c r="P303" s="1">
        <v>3428</v>
      </c>
      <c r="Q303" s="64">
        <v>43073</v>
      </c>
      <c r="R303" s="64">
        <v>46724</v>
      </c>
      <c r="S303" s="62" t="s">
        <v>2440</v>
      </c>
      <c r="T303" s="29" t="s">
        <v>2442</v>
      </c>
      <c r="U303" s="2" t="s">
        <v>2444</v>
      </c>
      <c r="V303" s="23" t="s">
        <v>3731</v>
      </c>
      <c r="W303" s="23" t="s">
        <v>1795</v>
      </c>
      <c r="X303" s="23">
        <v>2828</v>
      </c>
      <c r="Y303" s="60">
        <v>94363.4</v>
      </c>
      <c r="Z303" s="60">
        <v>90405.35</v>
      </c>
      <c r="AA303" s="2" t="s">
        <v>3741</v>
      </c>
      <c r="AB303" s="66"/>
      <c r="AC303" s="66"/>
      <c r="AD303" s="2"/>
      <c r="AE303" s="2"/>
      <c r="AF303" s="2"/>
      <c r="AG303" s="66"/>
      <c r="AH303" s="43"/>
      <c r="AI303" s="43"/>
      <c r="AJ303" s="2"/>
      <c r="AK303" s="1"/>
      <c r="AL303" s="1"/>
      <c r="AM303" s="1"/>
      <c r="AN303" s="117">
        <v>9448.402041276413</v>
      </c>
      <c r="AO303" s="118">
        <v>13710.066225584356</v>
      </c>
      <c r="AP303" s="2" t="s">
        <v>2405</v>
      </c>
    </row>
    <row r="304" spans="1:42" ht="54" customHeight="1">
      <c r="A304" s="2">
        <v>256</v>
      </c>
      <c r="B304" s="2">
        <v>265</v>
      </c>
      <c r="C304" s="1" t="s">
        <v>81</v>
      </c>
      <c r="D304" s="1" t="s">
        <v>6</v>
      </c>
      <c r="E304" s="13">
        <v>3</v>
      </c>
      <c r="F304" s="13" t="s">
        <v>1796</v>
      </c>
      <c r="G304" s="2" t="s">
        <v>1797</v>
      </c>
      <c r="H304" s="2" t="s">
        <v>2510</v>
      </c>
      <c r="I304" s="1" t="s">
        <v>4166</v>
      </c>
      <c r="J304" s="1" t="s">
        <v>4127</v>
      </c>
      <c r="K304" s="63">
        <v>29104391</v>
      </c>
      <c r="L304" s="1" t="s">
        <v>2438</v>
      </c>
      <c r="M304" s="1">
        <v>3447000</v>
      </c>
      <c r="N304" s="1" t="s">
        <v>3735</v>
      </c>
      <c r="O304" s="1" t="s">
        <v>4181</v>
      </c>
      <c r="P304" s="1">
        <v>3428</v>
      </c>
      <c r="Q304" s="64">
        <v>43073</v>
      </c>
      <c r="R304" s="64">
        <v>46724</v>
      </c>
      <c r="S304" s="62" t="s">
        <v>2440</v>
      </c>
      <c r="T304" s="29" t="s">
        <v>2442</v>
      </c>
      <c r="U304" s="2" t="s">
        <v>2444</v>
      </c>
      <c r="V304" s="23" t="s">
        <v>3732</v>
      </c>
      <c r="W304" s="23" t="s">
        <v>1798</v>
      </c>
      <c r="X304" s="23">
        <v>2821</v>
      </c>
      <c r="Y304" s="60">
        <v>94489.39</v>
      </c>
      <c r="Z304" s="60">
        <v>90541.04</v>
      </c>
      <c r="AA304" s="2" t="s">
        <v>3884</v>
      </c>
      <c r="AB304" s="83">
        <v>43732</v>
      </c>
      <c r="AC304" s="50">
        <v>0.43402777777777773</v>
      </c>
      <c r="AD304" s="93"/>
      <c r="AE304" s="93"/>
      <c r="AF304" s="93"/>
      <c r="AG304" s="93"/>
      <c r="AH304" s="93"/>
      <c r="AI304" s="93"/>
      <c r="AJ304" s="93"/>
      <c r="AK304" s="93"/>
      <c r="AL304" s="93"/>
      <c r="AM304" s="93"/>
      <c r="AN304" s="117">
        <f>AH304*AJ304*AK304*AL304</f>
        <v>0</v>
      </c>
      <c r="AO304" s="118">
        <f>AI304*AJ304*AK304*AM304</f>
        <v>0</v>
      </c>
      <c r="AP304" s="2" t="s">
        <v>2413</v>
      </c>
    </row>
    <row r="305" spans="1:42" ht="59.25" customHeight="1">
      <c r="A305" s="2">
        <v>257</v>
      </c>
      <c r="B305" s="2">
        <v>266</v>
      </c>
      <c r="C305" s="1" t="s">
        <v>81</v>
      </c>
      <c r="D305" s="1" t="s">
        <v>6</v>
      </c>
      <c r="E305" s="13">
        <v>3</v>
      </c>
      <c r="F305" s="13" t="s">
        <v>1799</v>
      </c>
      <c r="G305" s="2" t="s">
        <v>1797</v>
      </c>
      <c r="H305" s="2" t="s">
        <v>2510</v>
      </c>
      <c r="I305" s="1" t="s">
        <v>4166</v>
      </c>
      <c r="J305" s="1" t="s">
        <v>4127</v>
      </c>
      <c r="K305" s="63">
        <v>29104391</v>
      </c>
      <c r="L305" s="1" t="s">
        <v>2438</v>
      </c>
      <c r="M305" s="1">
        <v>3447000</v>
      </c>
      <c r="N305" s="1" t="s">
        <v>3735</v>
      </c>
      <c r="O305" s="1" t="s">
        <v>4181</v>
      </c>
      <c r="P305" s="1">
        <v>3428</v>
      </c>
      <c r="Q305" s="64">
        <v>43073</v>
      </c>
      <c r="R305" s="64">
        <v>46724</v>
      </c>
      <c r="S305" s="62" t="s">
        <v>2440</v>
      </c>
      <c r="T305" s="29" t="s">
        <v>2442</v>
      </c>
      <c r="U305" s="2" t="s">
        <v>2444</v>
      </c>
      <c r="V305" s="23" t="s">
        <v>3733</v>
      </c>
      <c r="W305" s="23" t="s">
        <v>1800</v>
      </c>
      <c r="X305" s="23">
        <v>2819</v>
      </c>
      <c r="Y305" s="60">
        <v>94507.52</v>
      </c>
      <c r="Z305" s="60">
        <v>90568.18</v>
      </c>
      <c r="AA305" s="2" t="s">
        <v>3884</v>
      </c>
      <c r="AB305" s="83">
        <v>43732</v>
      </c>
      <c r="AC305" s="50">
        <v>0.4270833333333333</v>
      </c>
      <c r="AD305" s="93"/>
      <c r="AE305" s="93"/>
      <c r="AF305" s="93"/>
      <c r="AG305" s="93"/>
      <c r="AH305" s="93"/>
      <c r="AI305" s="93"/>
      <c r="AJ305" s="93"/>
      <c r="AK305" s="93"/>
      <c r="AL305" s="93"/>
      <c r="AM305" s="93"/>
      <c r="AN305" s="117">
        <f>AH305*AJ305*AK305*AL305</f>
        <v>0</v>
      </c>
      <c r="AO305" s="118">
        <f>AI305*AJ305*AK305*AM305</f>
        <v>0</v>
      </c>
      <c r="AP305" s="2" t="s">
        <v>2413</v>
      </c>
    </row>
    <row r="306" spans="1:42" ht="48" customHeight="1">
      <c r="A306" s="2">
        <v>258</v>
      </c>
      <c r="B306" s="2">
        <v>267</v>
      </c>
      <c r="C306" s="1" t="s">
        <v>81</v>
      </c>
      <c r="D306" s="1" t="s">
        <v>6</v>
      </c>
      <c r="E306" s="13">
        <v>3</v>
      </c>
      <c r="F306" s="13" t="s">
        <v>1801</v>
      </c>
      <c r="G306" s="2" t="s">
        <v>1802</v>
      </c>
      <c r="H306" s="2" t="s">
        <v>2510</v>
      </c>
      <c r="I306" s="1" t="s">
        <v>4166</v>
      </c>
      <c r="J306" s="1" t="s">
        <v>4127</v>
      </c>
      <c r="K306" s="63">
        <v>29104391</v>
      </c>
      <c r="L306" s="1" t="s">
        <v>2438</v>
      </c>
      <c r="M306" s="1">
        <v>3447000</v>
      </c>
      <c r="N306" s="1" t="s">
        <v>3735</v>
      </c>
      <c r="O306" s="1" t="s">
        <v>4181</v>
      </c>
      <c r="P306" s="1">
        <v>3428</v>
      </c>
      <c r="Q306" s="64">
        <v>43073</v>
      </c>
      <c r="R306" s="64">
        <v>46724</v>
      </c>
      <c r="S306" s="62" t="s">
        <v>2440</v>
      </c>
      <c r="T306" s="29" t="s">
        <v>2442</v>
      </c>
      <c r="U306" s="2" t="s">
        <v>2444</v>
      </c>
      <c r="V306" s="23" t="s">
        <v>3734</v>
      </c>
      <c r="W306" s="23" t="s">
        <v>1803</v>
      </c>
      <c r="X306" s="23">
        <v>2817</v>
      </c>
      <c r="Y306" s="60">
        <v>94563.14</v>
      </c>
      <c r="Z306" s="60">
        <v>90615.05</v>
      </c>
      <c r="AA306" s="2" t="s">
        <v>3741</v>
      </c>
      <c r="AB306" s="66"/>
      <c r="AC306" s="66"/>
      <c r="AD306" s="2"/>
      <c r="AE306" s="2"/>
      <c r="AF306" s="2"/>
      <c r="AG306" s="66"/>
      <c r="AH306" s="43"/>
      <c r="AI306" s="43"/>
      <c r="AJ306" s="2"/>
      <c r="AK306" s="1"/>
      <c r="AL306" s="1"/>
      <c r="AM306" s="1"/>
      <c r="AN306" s="117">
        <f>AH306*AJ306*AK306*AL306</f>
        <v>0</v>
      </c>
      <c r="AO306" s="118">
        <f>AI306*AJ306*AK306*AM306</f>
        <v>0</v>
      </c>
      <c r="AP306" s="2" t="s">
        <v>2413</v>
      </c>
    </row>
    <row r="307" spans="1:42" ht="60.75" customHeight="1">
      <c r="A307" s="2">
        <v>259</v>
      </c>
      <c r="B307" s="2">
        <v>268</v>
      </c>
      <c r="C307" s="1" t="s">
        <v>81</v>
      </c>
      <c r="D307" s="1" t="s">
        <v>6</v>
      </c>
      <c r="E307" s="13">
        <v>3</v>
      </c>
      <c r="F307" s="13" t="s">
        <v>1804</v>
      </c>
      <c r="G307" s="2" t="s">
        <v>1805</v>
      </c>
      <c r="H307" s="2" t="s">
        <v>2510</v>
      </c>
      <c r="I307" s="1" t="s">
        <v>4166</v>
      </c>
      <c r="J307" s="1" t="s">
        <v>4127</v>
      </c>
      <c r="K307" s="63">
        <v>29104391</v>
      </c>
      <c r="L307" s="1" t="s">
        <v>2438</v>
      </c>
      <c r="M307" s="1">
        <v>3447000</v>
      </c>
      <c r="N307" s="1" t="s">
        <v>3735</v>
      </c>
      <c r="O307" s="1" t="s">
        <v>4181</v>
      </c>
      <c r="P307" s="1">
        <v>3428</v>
      </c>
      <c r="Q307" s="64">
        <v>43073</v>
      </c>
      <c r="R307" s="64">
        <v>46724</v>
      </c>
      <c r="S307" s="62" t="s">
        <v>2440</v>
      </c>
      <c r="T307" s="29" t="s">
        <v>2442</v>
      </c>
      <c r="U307" s="2" t="s">
        <v>2444</v>
      </c>
      <c r="V307" s="23" t="s">
        <v>3667</v>
      </c>
      <c r="W307" s="23" t="s">
        <v>1806</v>
      </c>
      <c r="X307" s="23">
        <v>2817</v>
      </c>
      <c r="Y307" s="60">
        <v>94560.06</v>
      </c>
      <c r="Z307" s="60">
        <v>90729.15</v>
      </c>
      <c r="AA307" s="2" t="s">
        <v>3884</v>
      </c>
      <c r="AB307" s="83">
        <v>43732</v>
      </c>
      <c r="AC307" s="50">
        <v>0.5104166666666666</v>
      </c>
      <c r="AD307" s="2"/>
      <c r="AE307" s="2"/>
      <c r="AF307" s="2"/>
      <c r="AG307" s="2"/>
      <c r="AH307" s="43"/>
      <c r="AI307" s="43"/>
      <c r="AJ307" s="2"/>
      <c r="AK307" s="1"/>
      <c r="AL307" s="1"/>
      <c r="AM307" s="1"/>
      <c r="AN307" s="117">
        <v>5794.052835299404</v>
      </c>
      <c r="AO307" s="118">
        <v>3742.820651870276</v>
      </c>
      <c r="AP307" s="2" t="s">
        <v>2413</v>
      </c>
    </row>
    <row r="308" spans="2:42" ht="12.75">
      <c r="B308" s="226" t="s">
        <v>2555</v>
      </c>
      <c r="C308" s="226"/>
      <c r="D308" s="226"/>
      <c r="E308" s="226"/>
      <c r="F308" s="226"/>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26"/>
      <c r="AL308" s="226"/>
      <c r="AM308" s="226"/>
      <c r="AN308" s="121">
        <f>AN260+AN261+AN264+AN268+AN272+AN273+AN274+AN275+AN276+AN277+AN286+AN303+AN304+AN305+AN306+AN307</f>
        <v>110344.21200681581</v>
      </c>
      <c r="AO308" s="121">
        <f>AO260+AO261+AO264+AO268+AO272+AO273+AO274+AO275+AO276+AO277+AO286+AO303+AO304+AO305+AO306+AO307</f>
        <v>94947.95949057463</v>
      </c>
      <c r="AP308" s="82"/>
    </row>
    <row r="309" spans="2:42" ht="12.75">
      <c r="B309" s="227" t="s">
        <v>2556</v>
      </c>
      <c r="C309" s="227"/>
      <c r="D309" s="227"/>
      <c r="E309" s="227"/>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81">
        <f>SUM(AN255:AN307)</f>
        <v>139667.8688132158</v>
      </c>
      <c r="AO309" s="81">
        <f>SUM(AO255:AO307)</f>
        <v>123357.59726337466</v>
      </c>
      <c r="AP309" s="82"/>
    </row>
    <row r="310" spans="2:42" ht="45" customHeight="1">
      <c r="B310" s="2">
        <v>269</v>
      </c>
      <c r="C310" s="1" t="s">
        <v>3969</v>
      </c>
      <c r="D310" s="1" t="s">
        <v>6</v>
      </c>
      <c r="E310" s="13">
        <v>3</v>
      </c>
      <c r="F310" s="13" t="s">
        <v>3970</v>
      </c>
      <c r="G310" s="2" t="s">
        <v>3971</v>
      </c>
      <c r="H310" s="2" t="s">
        <v>2511</v>
      </c>
      <c r="I310" s="1" t="s">
        <v>4166</v>
      </c>
      <c r="J310" s="1" t="s">
        <v>4127</v>
      </c>
      <c r="K310" s="63">
        <v>29104391</v>
      </c>
      <c r="L310" s="1" t="s">
        <v>2438</v>
      </c>
      <c r="M310" s="1">
        <v>3447000</v>
      </c>
      <c r="N310" s="1" t="s">
        <v>3735</v>
      </c>
      <c r="O310" s="1" t="s">
        <v>4181</v>
      </c>
      <c r="P310" s="1">
        <v>3428</v>
      </c>
      <c r="Q310" s="64">
        <v>43073</v>
      </c>
      <c r="R310" s="64">
        <v>46724</v>
      </c>
      <c r="S310" s="62" t="s">
        <v>2440</v>
      </c>
      <c r="T310" s="29" t="s">
        <v>2442</v>
      </c>
      <c r="U310" s="2" t="s">
        <v>2444</v>
      </c>
      <c r="V310" s="23" t="s">
        <v>3972</v>
      </c>
      <c r="W310" s="23" t="s">
        <v>3973</v>
      </c>
      <c r="X310" s="23"/>
      <c r="Y310" s="60"/>
      <c r="Z310" s="60"/>
      <c r="AA310" s="2" t="s">
        <v>4023</v>
      </c>
      <c r="AB310" s="83">
        <v>43747</v>
      </c>
      <c r="AC310" s="50" t="s">
        <v>3931</v>
      </c>
      <c r="AD310" s="2">
        <v>536</v>
      </c>
      <c r="AE310" s="2">
        <v>400</v>
      </c>
      <c r="AF310" s="203">
        <v>16.919999999999998</v>
      </c>
      <c r="AG310" s="2">
        <v>24</v>
      </c>
      <c r="AH310" s="102">
        <f>AF310*AD310*AG310*0.0036</f>
        <v>783.5719679999999</v>
      </c>
      <c r="AI310" s="102">
        <f>AF310*AE310*AG310*0.0036</f>
        <v>584.7551999999998</v>
      </c>
      <c r="AJ310" s="2">
        <v>30</v>
      </c>
      <c r="AK310" s="1">
        <v>12</v>
      </c>
      <c r="AL310" s="1">
        <v>0.66</v>
      </c>
      <c r="AM310" s="1">
        <v>0.77</v>
      </c>
      <c r="AN310" s="44">
        <f>AH310*AJ310*AK310*AL310</f>
        <v>186176.69959679997</v>
      </c>
      <c r="AO310" s="45">
        <f>AI310*AJ310*AK310*AM310</f>
        <v>162094.14143999995</v>
      </c>
      <c r="AP310" s="2" t="s">
        <v>2457</v>
      </c>
    </row>
    <row r="311" spans="2:42" ht="37.5" customHeight="1">
      <c r="B311" s="2">
        <v>270</v>
      </c>
      <c r="C311" s="1" t="s">
        <v>3969</v>
      </c>
      <c r="D311" s="1" t="s">
        <v>6</v>
      </c>
      <c r="E311" s="13">
        <v>3</v>
      </c>
      <c r="F311" s="13" t="s">
        <v>3974</v>
      </c>
      <c r="G311" s="2" t="s">
        <v>3971</v>
      </c>
      <c r="H311" s="2" t="s">
        <v>2511</v>
      </c>
      <c r="I311" s="1" t="s">
        <v>4166</v>
      </c>
      <c r="J311" s="1" t="s">
        <v>4127</v>
      </c>
      <c r="K311" s="63">
        <v>29104391</v>
      </c>
      <c r="L311" s="1" t="s">
        <v>2438</v>
      </c>
      <c r="M311" s="1">
        <v>3447000</v>
      </c>
      <c r="N311" s="1" t="s">
        <v>3735</v>
      </c>
      <c r="O311" s="1" t="s">
        <v>4181</v>
      </c>
      <c r="P311" s="1">
        <v>3428</v>
      </c>
      <c r="Q311" s="64">
        <v>43073</v>
      </c>
      <c r="R311" s="64">
        <v>46724</v>
      </c>
      <c r="S311" s="62" t="s">
        <v>2440</v>
      </c>
      <c r="T311" s="29" t="s">
        <v>2442</v>
      </c>
      <c r="U311" s="2" t="s">
        <v>2444</v>
      </c>
      <c r="V311" s="23" t="s">
        <v>3975</v>
      </c>
      <c r="W311" s="23" t="s">
        <v>3976</v>
      </c>
      <c r="X311" s="23"/>
      <c r="Y311" s="60"/>
      <c r="Z311" s="60"/>
      <c r="AA311" s="2" t="s">
        <v>4024</v>
      </c>
      <c r="AB311" s="83">
        <v>43747</v>
      </c>
      <c r="AC311" s="50" t="s">
        <v>3967</v>
      </c>
      <c r="AD311" s="2">
        <v>376</v>
      </c>
      <c r="AE311" s="2">
        <v>140</v>
      </c>
      <c r="AF311" s="203">
        <v>1.86</v>
      </c>
      <c r="AG311" s="2">
        <v>24</v>
      </c>
      <c r="AH311" s="102">
        <f>AF311*AD311*AG311*0.0036</f>
        <v>60.424704</v>
      </c>
      <c r="AI311" s="102">
        <f>AF311*AE311*AG311*0.0036</f>
        <v>22.49856</v>
      </c>
      <c r="AJ311" s="2">
        <v>30</v>
      </c>
      <c r="AK311" s="1">
        <v>12</v>
      </c>
      <c r="AL311" s="1">
        <v>0.66</v>
      </c>
      <c r="AM311" s="1">
        <v>0.77</v>
      </c>
      <c r="AN311" s="44">
        <f>AH311*AJ311*AK311*AL311</f>
        <v>14356.9096704</v>
      </c>
      <c r="AO311" s="45">
        <f>AI311*AJ311*AK311*AM311</f>
        <v>6236.600832000001</v>
      </c>
      <c r="AP311" s="2" t="s">
        <v>2457</v>
      </c>
    </row>
    <row r="312" spans="2:41" ht="12.75">
      <c r="B312" s="204"/>
      <c r="C312" s="204"/>
      <c r="D312" s="204"/>
      <c r="E312" s="204"/>
      <c r="F312" s="204"/>
      <c r="G312" s="204"/>
      <c r="H312" s="204"/>
      <c r="I312" s="204"/>
      <c r="J312" s="204"/>
      <c r="K312" s="204"/>
      <c r="L312" s="204"/>
      <c r="M312" s="204"/>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4"/>
      <c r="AK312" s="204"/>
      <c r="AL312" s="204"/>
      <c r="AM312" s="204"/>
      <c r="AN312" s="81">
        <f>SUM(AN310:AN311)</f>
        <v>200533.60926719996</v>
      </c>
      <c r="AO312" s="81">
        <f>SUM(AO310:AO311)</f>
        <v>168330.74227199994</v>
      </c>
    </row>
  </sheetData>
  <sheetProtection/>
  <mergeCells count="56">
    <mergeCell ref="B309:AM309"/>
    <mergeCell ref="B254:AM254"/>
    <mergeCell ref="B222:AM222"/>
    <mergeCell ref="B223:AM223"/>
    <mergeCell ref="B96:AM96"/>
    <mergeCell ref="B97:AM97"/>
    <mergeCell ref="B113:AM113"/>
    <mergeCell ref="B114:AM114"/>
    <mergeCell ref="B140:AM140"/>
    <mergeCell ref="AP1:AP2"/>
    <mergeCell ref="B20:AM20"/>
    <mergeCell ref="B21:AM21"/>
    <mergeCell ref="B1:B2"/>
    <mergeCell ref="B37:AM37"/>
    <mergeCell ref="B308:AM308"/>
    <mergeCell ref="AN1:AN2"/>
    <mergeCell ref="Y1:Z1"/>
    <mergeCell ref="AA1:AA2"/>
    <mergeCell ref="AB1:AB2"/>
    <mergeCell ref="B141:AM141"/>
    <mergeCell ref="B44:AM44"/>
    <mergeCell ref="B45:AM45"/>
    <mergeCell ref="B73:AM73"/>
    <mergeCell ref="B74:AM74"/>
    <mergeCell ref="AH1:AH2"/>
    <mergeCell ref="AI1:AI2"/>
    <mergeCell ref="B38:AM38"/>
    <mergeCell ref="AJ1:AJ2"/>
    <mergeCell ref="AK1:AK2"/>
    <mergeCell ref="AL1:AL2"/>
    <mergeCell ref="AM1:AM2"/>
    <mergeCell ref="S1:S2"/>
    <mergeCell ref="T1:T2"/>
    <mergeCell ref="U1:U2"/>
    <mergeCell ref="X1:X2"/>
    <mergeCell ref="V1:W1"/>
    <mergeCell ref="AC1:AC2"/>
    <mergeCell ref="AO1:AO2"/>
    <mergeCell ref="AD1:AD2"/>
    <mergeCell ref="AE1:AE2"/>
    <mergeCell ref="AF1:AF2"/>
    <mergeCell ref="AG1:AG2"/>
    <mergeCell ref="J1:J2"/>
    <mergeCell ref="K1:K2"/>
    <mergeCell ref="L1:L2"/>
    <mergeCell ref="M1:M2"/>
    <mergeCell ref="N1:N2"/>
    <mergeCell ref="O1:R1"/>
    <mergeCell ref="G1:G2"/>
    <mergeCell ref="H1:H2"/>
    <mergeCell ref="I1:I2"/>
    <mergeCell ref="A1:A2"/>
    <mergeCell ref="C1:C2"/>
    <mergeCell ref="D1:D2"/>
    <mergeCell ref="E1:E2"/>
    <mergeCell ref="F1:F2"/>
  </mergeCells>
  <printOptions/>
  <pageMargins left="0.7" right="0.7" top="0.75" bottom="0.75" header="0.3" footer="0.3"/>
  <pageSetup horizontalDpi="600" verticalDpi="600" orientation="portrait" r:id="rId1"/>
  <ignoredErrors>
    <ignoredError sqref="AN50:AO50 AN60:AO60 AN66:AO66 AN166:AO166 AN178:AO178 AN211:AO211 AN218:AO218 AN241:AO241" formula="1"/>
  </ignoredErrors>
</worksheet>
</file>

<file path=xl/worksheets/sheet9.xml><?xml version="1.0" encoding="utf-8"?>
<worksheet xmlns="http://schemas.openxmlformats.org/spreadsheetml/2006/main" xmlns:r="http://schemas.openxmlformats.org/officeDocument/2006/relationships">
  <dimension ref="A1:E22"/>
  <sheetViews>
    <sheetView zoomScale="120" zoomScaleNormal="120" zoomScalePageLayoutView="0" workbookViewId="0" topLeftCell="A1">
      <selection activeCell="E5" sqref="E5"/>
    </sheetView>
  </sheetViews>
  <sheetFormatPr defaultColWidth="11.421875" defaultRowHeight="15"/>
  <cols>
    <col min="1" max="1" width="24.8515625" style="77" customWidth="1"/>
    <col min="2" max="2" width="11.421875" style="77" customWidth="1"/>
    <col min="3" max="3" width="21.00390625" style="77" customWidth="1"/>
    <col min="4" max="4" width="15.421875" style="77" customWidth="1"/>
    <col min="5" max="5" width="19.57421875" style="77" customWidth="1"/>
    <col min="6" max="6" width="21.8515625" style="77" customWidth="1"/>
    <col min="7" max="7" width="20.7109375" style="77" customWidth="1"/>
    <col min="8" max="8" width="21.140625" style="77" customWidth="1"/>
    <col min="9" max="9" width="18.140625" style="77" customWidth="1"/>
    <col min="10" max="10" width="16.140625" style="77" customWidth="1"/>
    <col min="11" max="16384" width="11.421875" style="77" customWidth="1"/>
  </cols>
  <sheetData>
    <row r="1" spans="1:5" ht="16.5">
      <c r="A1" s="233" t="s">
        <v>4165</v>
      </c>
      <c r="B1" s="233"/>
      <c r="C1" s="233"/>
      <c r="D1" s="233"/>
      <c r="E1" s="233"/>
    </row>
    <row r="2" spans="1:5" ht="15" customHeight="1">
      <c r="A2" s="235" t="s">
        <v>2463</v>
      </c>
      <c r="B2" s="235" t="s">
        <v>2464</v>
      </c>
      <c r="C2" s="234" t="s">
        <v>2418</v>
      </c>
      <c r="D2" s="234" t="s">
        <v>3889</v>
      </c>
      <c r="E2" s="234"/>
    </row>
    <row r="3" spans="1:5" ht="16.5">
      <c r="A3" s="235"/>
      <c r="B3" s="235"/>
      <c r="C3" s="234"/>
      <c r="D3" s="75" t="s">
        <v>2465</v>
      </c>
      <c r="E3" s="75" t="s">
        <v>2466</v>
      </c>
    </row>
    <row r="4" spans="1:5" ht="16.5">
      <c r="A4" s="235"/>
      <c r="B4" s="235"/>
      <c r="C4" s="234"/>
      <c r="D4" s="75" t="s">
        <v>2467</v>
      </c>
      <c r="E4" s="75" t="s">
        <v>2467</v>
      </c>
    </row>
    <row r="5" spans="1:5" ht="16.5">
      <c r="A5" s="232" t="s">
        <v>2468</v>
      </c>
      <c r="B5" s="210">
        <v>1</v>
      </c>
      <c r="C5" s="209" t="s">
        <v>4166</v>
      </c>
      <c r="D5" s="208">
        <v>749312.203825618</v>
      </c>
      <c r="E5" s="208">
        <v>468021.05385207955</v>
      </c>
    </row>
    <row r="6" spans="1:5" ht="16.5">
      <c r="A6" s="232"/>
      <c r="B6" s="210">
        <v>2</v>
      </c>
      <c r="C6" s="209" t="s">
        <v>4166</v>
      </c>
      <c r="D6" s="208">
        <v>26165.7511059242</v>
      </c>
      <c r="E6" s="208">
        <v>52496.91339949531</v>
      </c>
    </row>
    <row r="7" spans="1:5" ht="16.5">
      <c r="A7" s="232" t="s">
        <v>2469</v>
      </c>
      <c r="B7" s="210">
        <v>1</v>
      </c>
      <c r="C7" s="209" t="s">
        <v>4166</v>
      </c>
      <c r="D7" s="208">
        <v>7973.56918656</v>
      </c>
      <c r="E7" s="208">
        <v>5633.6000256</v>
      </c>
    </row>
    <row r="8" spans="1:5" ht="16.5">
      <c r="A8" s="232"/>
      <c r="B8" s="210">
        <v>2</v>
      </c>
      <c r="C8" s="209" t="s">
        <v>4166</v>
      </c>
      <c r="D8" s="208">
        <v>1188827.5018752003</v>
      </c>
      <c r="E8" s="208">
        <v>813439.7706240002</v>
      </c>
    </row>
    <row r="9" spans="1:5" ht="16.5">
      <c r="A9" s="232"/>
      <c r="B9" s="210">
        <v>3</v>
      </c>
      <c r="C9" s="209" t="s">
        <v>4166</v>
      </c>
      <c r="D9" s="208">
        <v>4964836.284534306</v>
      </c>
      <c r="E9" s="208">
        <v>3616483.901090151</v>
      </c>
    </row>
    <row r="10" spans="1:5" ht="16.5">
      <c r="A10" s="232"/>
      <c r="B10" s="210">
        <v>4</v>
      </c>
      <c r="C10" s="209" t="s">
        <v>4166</v>
      </c>
      <c r="D10" s="208">
        <v>14860659.897642713</v>
      </c>
      <c r="E10" s="208">
        <v>10882425.085722122</v>
      </c>
    </row>
    <row r="11" spans="1:5" ht="16.5">
      <c r="A11" s="232" t="s">
        <v>2470</v>
      </c>
      <c r="B11" s="210">
        <v>1</v>
      </c>
      <c r="C11" s="209" t="s">
        <v>4166</v>
      </c>
      <c r="D11" s="208">
        <v>167935.9951872</v>
      </c>
      <c r="E11" s="208">
        <v>182155.59936</v>
      </c>
    </row>
    <row r="12" spans="1:5" ht="16.5">
      <c r="A12" s="232"/>
      <c r="B12" s="210">
        <v>2</v>
      </c>
      <c r="C12" s="209" t="s">
        <v>4166</v>
      </c>
      <c r="D12" s="208">
        <v>1555808.4092055745</v>
      </c>
      <c r="E12" s="208">
        <v>1830522.8794273203</v>
      </c>
    </row>
    <row r="13" spans="1:5" ht="16.5">
      <c r="A13" s="232"/>
      <c r="B13" s="210">
        <v>3</v>
      </c>
      <c r="C13" s="209" t="s">
        <v>4166</v>
      </c>
      <c r="D13" s="208">
        <v>434672.771004495</v>
      </c>
      <c r="E13" s="208">
        <v>230505.2030934992</v>
      </c>
    </row>
    <row r="14" spans="1:5" ht="16.5">
      <c r="A14" s="232"/>
      <c r="B14" s="210">
        <v>4</v>
      </c>
      <c r="C14" s="209" t="s">
        <v>4166</v>
      </c>
      <c r="D14" s="208">
        <v>25164324.871553726</v>
      </c>
      <c r="E14" s="208">
        <v>24443775.722801384</v>
      </c>
    </row>
    <row r="15" spans="1:5" ht="16.5">
      <c r="A15" s="232" t="s">
        <v>2471</v>
      </c>
      <c r="B15" s="210">
        <v>1</v>
      </c>
      <c r="C15" s="209" t="s">
        <v>4166</v>
      </c>
      <c r="D15" s="208">
        <v>53191.62397552195</v>
      </c>
      <c r="E15" s="208">
        <v>107994.0874932865</v>
      </c>
    </row>
    <row r="16" spans="1:5" ht="16.5">
      <c r="A16" s="232"/>
      <c r="B16" s="210">
        <v>2</v>
      </c>
      <c r="C16" s="209" t="s">
        <v>4166</v>
      </c>
      <c r="D16" s="208">
        <f>'Río Tunjuelo'!AM29</f>
        <v>312113.6534876904</v>
      </c>
      <c r="E16" s="208">
        <f>'Río Tunjuelo'!AN29</f>
        <v>139271.5001192917</v>
      </c>
    </row>
    <row r="17" spans="1:5" ht="16.5">
      <c r="A17" s="232"/>
      <c r="B17" s="210">
        <v>3</v>
      </c>
      <c r="C17" s="209" t="s">
        <v>4166</v>
      </c>
      <c r="D17" s="208">
        <v>3541138.9229002674</v>
      </c>
      <c r="E17" s="208">
        <v>3872513.252410937</v>
      </c>
    </row>
    <row r="18" spans="1:5" ht="16.5">
      <c r="A18" s="232"/>
      <c r="B18" s="210">
        <v>4</v>
      </c>
      <c r="C18" s="209" t="s">
        <v>4166</v>
      </c>
      <c r="D18" s="208">
        <v>37358131.40435023</v>
      </c>
      <c r="E18" s="208">
        <v>35636367.377531946</v>
      </c>
    </row>
    <row r="20" spans="4:5" ht="16.5">
      <c r="D20" s="211"/>
      <c r="E20" s="211"/>
    </row>
    <row r="21" spans="4:5" ht="16.5">
      <c r="D21" s="211"/>
      <c r="E21" s="211"/>
    </row>
    <row r="22" spans="4:5" ht="16.5">
      <c r="D22" s="212"/>
      <c r="E22" s="212"/>
    </row>
  </sheetData>
  <sheetProtection/>
  <mergeCells count="9">
    <mergeCell ref="A7:A10"/>
    <mergeCell ref="A11:A14"/>
    <mergeCell ref="A15:A18"/>
    <mergeCell ref="A1:E1"/>
    <mergeCell ref="D2:E2"/>
    <mergeCell ref="C2:C4"/>
    <mergeCell ref="A2:A4"/>
    <mergeCell ref="B2:B4"/>
    <mergeCell ref="A5:A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ana.zorro</dc:creator>
  <cp:keywords/>
  <dc:description/>
  <cp:lastModifiedBy>MARCELA.REYES</cp:lastModifiedBy>
  <cp:lastPrinted>2013-05-09T19:11:00Z</cp:lastPrinted>
  <dcterms:created xsi:type="dcterms:W3CDTF">2012-01-05T14:54:29Z</dcterms:created>
  <dcterms:modified xsi:type="dcterms:W3CDTF">2021-10-20T05:38:23Z</dcterms:modified>
  <cp:category/>
  <cp:version/>
  <cp:contentType/>
  <cp:contentStatus/>
</cp:coreProperties>
</file>