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7" yWindow="32767" windowWidth="20490" windowHeight="7485" activeTab="0"/>
  </bookViews>
  <sheets>
    <sheet name="CC Otros Usuarios 2019_con Meta" sheetId="1" r:id="rId1"/>
    <sheet name="CC Otros Usuarios 2019_Sin Meta" sheetId="2" r:id="rId2"/>
  </sheets>
  <definedNames>
    <definedName name="_xlfn.SUMIFS" hidden="1">#NAME?</definedName>
  </definedNames>
  <calcPr fullCalcOnLoad="1"/>
</workbook>
</file>

<file path=xl/sharedStrings.xml><?xml version="1.0" encoding="utf-8"?>
<sst xmlns="http://schemas.openxmlformats.org/spreadsheetml/2006/main" count="2173" uniqueCount="952">
  <si>
    <t>No.</t>
  </si>
  <si>
    <t>USUARIO</t>
  </si>
  <si>
    <t>DIRECCION</t>
  </si>
  <si>
    <t>EXPEDIENTE</t>
  </si>
  <si>
    <t xml:space="preserve"> INFORMACION PERMISO DE VERTIMIENTO</t>
  </si>
  <si>
    <t>Vigente</t>
  </si>
  <si>
    <t>Resolución 
Número</t>
  </si>
  <si>
    <t>Fecha</t>
  </si>
  <si>
    <t>Notificada</t>
  </si>
  <si>
    <t>Ejecutoriada</t>
  </si>
  <si>
    <t>Término</t>
  </si>
  <si>
    <t>Vencimiento</t>
  </si>
  <si>
    <t>No reporta</t>
  </si>
  <si>
    <t>No</t>
  </si>
  <si>
    <t>SDA-08-2014-5492</t>
  </si>
  <si>
    <t>SDA-08-2014-5553</t>
  </si>
  <si>
    <t>SDA-05-2011-99</t>
  </si>
  <si>
    <t>SDA-05-2014-586</t>
  </si>
  <si>
    <t>10 años</t>
  </si>
  <si>
    <t>Torca</t>
  </si>
  <si>
    <t>Sin Expediente</t>
  </si>
  <si>
    <t>JARDÍN INFANTIL CAMPESTRE DEL NORTE</t>
  </si>
  <si>
    <t xml:space="preserve">CONJUNTO PLAZUELAS DE SAN JOSÉ </t>
  </si>
  <si>
    <t>CONJUNTO PIEDEMONTE</t>
  </si>
  <si>
    <t>COLEGIO VICTORIA S.A</t>
  </si>
  <si>
    <t>ENTIDAD EDUCATIVA COLEGIO GRAN BRETAÑA</t>
  </si>
  <si>
    <t>SDA-08-2015-8267</t>
  </si>
  <si>
    <t>SDA-08-2015-8574</t>
  </si>
  <si>
    <t>SDA-08-2015-6852</t>
  </si>
  <si>
    <t>SDA-08-2015-6357</t>
  </si>
  <si>
    <t>SDA-05-2010-704</t>
  </si>
  <si>
    <t>SDA-08-2016-205</t>
  </si>
  <si>
    <t>SDA-08-2015-6614</t>
  </si>
  <si>
    <t>CONJUNTO LA ARBOLEDA PH</t>
  </si>
  <si>
    <t>CONJUNTO RESIDENCIAL ARRAYANES P.H</t>
  </si>
  <si>
    <t>AGRUPACIÓN DE VIVIENDA GUADALQUIVIR</t>
  </si>
  <si>
    <t>CONJUNTO RESIDENCIAL LA ARBORADA DE SAN JOSÉ P.H</t>
  </si>
  <si>
    <t>SDA-08-2015-7543</t>
  </si>
  <si>
    <t>CONJUNTO RESIDENCIAL ÁTICOS DE BAVARIA P.H</t>
  </si>
  <si>
    <t>SDA-08-2015-7430</t>
  </si>
  <si>
    <t>CONJUNTO RESIDENCIAL SAN SIMEÓN P.H</t>
  </si>
  <si>
    <t>CONJUNTO RESIDENCIAL EL REFUGIO P.H</t>
  </si>
  <si>
    <t>QUIÑONES GÓMEZ Y CIA S EN CS
CONJUNTO SIERRA VERDE</t>
  </si>
  <si>
    <t>AGRUPACIÓN CONJUNTO RESIDENCIAL PASEO DE LOS CEREZOS
SOCIEDAD QUIÑONEZ GOMEZ Y CIA S EN C.S</t>
  </si>
  <si>
    <t>SDA-05-2013-69</t>
  </si>
  <si>
    <t>Tramo Asociado a la descarga</t>
  </si>
  <si>
    <t>Tipo de Vertimiento</t>
  </si>
  <si>
    <t>Origen del Agua Residual</t>
  </si>
  <si>
    <t>Coordenadas Planas</t>
  </si>
  <si>
    <t>h (m)</t>
  </si>
  <si>
    <t>Coordenadas Geográficas</t>
  </si>
  <si>
    <t>Observaciones</t>
  </si>
  <si>
    <t>SST (mg/L)</t>
  </si>
  <si>
    <t>Caudal (L/s)</t>
  </si>
  <si>
    <t>Carga SST (Kg/día)</t>
  </si>
  <si>
    <t>Tiempo de Vertimiento (Días/mes)</t>
  </si>
  <si>
    <t>Tiempo de Vertimiento (mes/año)</t>
  </si>
  <si>
    <t>Carga SST (Kg/año)</t>
  </si>
  <si>
    <t>Intermitente</t>
  </si>
  <si>
    <t>Tiempo (h)</t>
  </si>
  <si>
    <t xml:space="preserve">
(N)</t>
  </si>
  <si>
    <t xml:space="preserve">
(E)</t>
  </si>
  <si>
    <t>Latitud</t>
  </si>
  <si>
    <t>Longitud</t>
  </si>
  <si>
    <t>ARD</t>
  </si>
  <si>
    <t>CONJUNTO RESIDENCIAL MADRIGAL</t>
  </si>
  <si>
    <t>04°46'07.86"N</t>
  </si>
  <si>
    <t>SDA-08-2015-8290</t>
  </si>
  <si>
    <t>CONJUNTO RESIDENCIAL BONAVENTO</t>
  </si>
  <si>
    <t>CONJUNTO RESIDENCIAL CERROS DE SAN JOSE PH</t>
  </si>
  <si>
    <t>CONJUNTO RESIDENCIAL EL PUEBLITO P.H</t>
  </si>
  <si>
    <t>CONJUNTO RESIDENCIAL NARANJUNI</t>
  </si>
  <si>
    <t>SDA-08-2015-7401</t>
  </si>
  <si>
    <t>CONJUNTO RESIDENCIAL SIERRA MONTE II</t>
  </si>
  <si>
    <t>SDA-08-2014-5184</t>
  </si>
  <si>
    <t>SDA-08-2015-1947</t>
  </si>
  <si>
    <t>CONJUNTO RESIDENCIAL SANTA BARBARA</t>
  </si>
  <si>
    <t xml:space="preserve"> CONJUNTO RESIDENCIAL BARATARIA</t>
  </si>
  <si>
    <t>KR 78 181 61</t>
  </si>
  <si>
    <t>04°46'11,574"N</t>
  </si>
  <si>
    <t>---</t>
  </si>
  <si>
    <t xml:space="preserve">CL 179 76 15  </t>
  </si>
  <si>
    <t>AGRUPACIÓN RESIDENCIAL CATALUÑA P.H.</t>
  </si>
  <si>
    <t xml:space="preserve">No presentó autodeclaración de vertimientos.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t>
  </si>
  <si>
    <t xml:space="preserve">  04°45'58.04"N</t>
  </si>
  <si>
    <t>CL 182 76 55</t>
  </si>
  <si>
    <t xml:space="preserve">04°46'11,5"N </t>
  </si>
  <si>
    <t>CONJUNTO LOS ROBLES</t>
  </si>
  <si>
    <t xml:space="preserve">KR 76 179 20  </t>
  </si>
  <si>
    <t xml:space="preserve">  04°46'00.70"N</t>
  </si>
  <si>
    <t>CL 180 67 80</t>
  </si>
  <si>
    <t>5 años</t>
  </si>
  <si>
    <t>KR 65 170 40</t>
  </si>
  <si>
    <t>KR 68 175 66</t>
  </si>
  <si>
    <t xml:space="preserve">  04°45'25.82"N</t>
  </si>
  <si>
    <t xml:space="preserve">  04°45'47.94"N</t>
  </si>
  <si>
    <t>CL 181 76 55</t>
  </si>
  <si>
    <t>CL 175 76 55</t>
  </si>
  <si>
    <t>CL 181 76 80</t>
  </si>
  <si>
    <t>04°46'08.88"N</t>
  </si>
  <si>
    <t>KR 70 180 30</t>
  </si>
  <si>
    <t>04°45'56.72"N</t>
  </si>
  <si>
    <t>CONJUNTO RESIDENCIAL GIBRALTAR P.H</t>
  </si>
  <si>
    <t>KR 78 170 40</t>
  </si>
  <si>
    <t>KR 78 172 A 50</t>
  </si>
  <si>
    <t>04°45'49.55"N</t>
  </si>
  <si>
    <t>CONJUNTO RESIDENCIAL MIRA MONTES</t>
  </si>
  <si>
    <t>CONJUNTO RESIDENCIAL SAN SIMEÓN II</t>
  </si>
  <si>
    <t>KR 78 175 75</t>
  </si>
  <si>
    <t>KR 78 173 70</t>
  </si>
  <si>
    <t>04°45'53.86"N</t>
  </si>
  <si>
    <t>CL 175 80 15</t>
  </si>
  <si>
    <t>04°46'02.44"N</t>
  </si>
  <si>
    <t>KR 80 172 A 82</t>
  </si>
  <si>
    <t>04°45'54.02"N</t>
  </si>
  <si>
    <t>KR 80 175 83</t>
  </si>
  <si>
    <t>04°46'14.23"N</t>
  </si>
  <si>
    <t xml:space="preserve">KR 67 180 96 </t>
  </si>
  <si>
    <t>04°45'59.4" N</t>
  </si>
  <si>
    <t>04°45'57.2" N</t>
  </si>
  <si>
    <t>CL 175 72 75</t>
  </si>
  <si>
    <t>KR 68 175 55</t>
  </si>
  <si>
    <t xml:space="preserve">  04°45'47.32"N</t>
  </si>
  <si>
    <t>KR 78 179 85</t>
  </si>
  <si>
    <t xml:space="preserve">  04°46'07.10"N</t>
  </si>
  <si>
    <t xml:space="preserve">  04°46'08.70"N</t>
  </si>
  <si>
    <t>KR 78 179 40</t>
  </si>
  <si>
    <t xml:space="preserve">  04°46'05.89"N</t>
  </si>
  <si>
    <t>KR 68 180 40</t>
  </si>
  <si>
    <t xml:space="preserve">  04°45'56.14"N</t>
  </si>
  <si>
    <t>KR 80 175 25</t>
  </si>
  <si>
    <t xml:space="preserve">  04°46'07.51"N</t>
  </si>
  <si>
    <t xml:space="preserve">  04°46'12.18"N</t>
  </si>
  <si>
    <t>KR 78 181 20</t>
  </si>
  <si>
    <t xml:space="preserve">  04°46'10.20"N</t>
  </si>
  <si>
    <t>COLEGIO INGLATERRA REAL</t>
  </si>
  <si>
    <t>METROKIA S.A (SEDE CALLE 170)</t>
  </si>
  <si>
    <t xml:space="preserve">SDA-05-2010-1554 </t>
  </si>
  <si>
    <t>AGRUPACIÓN DE VIVIENDA MULTIFAMILIAR VERONA</t>
  </si>
  <si>
    <r>
      <t>DBO</t>
    </r>
    <r>
      <rPr>
        <b/>
        <vertAlign val="subscript"/>
        <sz val="8"/>
        <color indexed="8"/>
        <rFont val="Arial Narrow"/>
        <family val="2"/>
      </rPr>
      <t xml:space="preserve">5 </t>
    </r>
    <r>
      <rPr>
        <b/>
        <sz val="8"/>
        <color indexed="8"/>
        <rFont val="Arial Narrow"/>
        <family val="2"/>
      </rPr>
      <t>(mg/L)</t>
    </r>
  </si>
  <si>
    <r>
      <t>Carga DBO</t>
    </r>
    <r>
      <rPr>
        <b/>
        <vertAlign val="subscript"/>
        <sz val="8"/>
        <color indexed="8"/>
        <rFont val="Arial Narrow"/>
        <family val="2"/>
      </rPr>
      <t>5</t>
    </r>
    <r>
      <rPr>
        <b/>
        <sz val="8"/>
        <color indexed="8"/>
        <rFont val="Arial Narrow"/>
        <family val="2"/>
      </rPr>
      <t xml:space="preserve"> (Kg/día)</t>
    </r>
  </si>
  <si>
    <r>
      <t>Carga DBO</t>
    </r>
    <r>
      <rPr>
        <b/>
        <vertAlign val="subscript"/>
        <sz val="8"/>
        <color indexed="8"/>
        <rFont val="Arial Narrow"/>
        <family val="2"/>
      </rPr>
      <t>5</t>
    </r>
    <r>
      <rPr>
        <b/>
        <sz val="8"/>
        <color indexed="8"/>
        <rFont val="Arial Narrow"/>
        <family val="2"/>
      </rPr>
      <t xml:space="preserve"> (Kg/año)</t>
    </r>
  </si>
  <si>
    <t>KR 67 180 15</t>
  </si>
  <si>
    <t xml:space="preserve">  04°45'50.00"N</t>
  </si>
  <si>
    <t>AC 183 67 77</t>
  </si>
  <si>
    <t xml:space="preserve">  04°46'02.19"N</t>
  </si>
  <si>
    <t>AK 72 170 97</t>
  </si>
  <si>
    <t>04°45'44.15"N</t>
  </si>
  <si>
    <t xml:space="preserve">  04°45'39.87"N</t>
  </si>
  <si>
    <t>KR 76 173 30</t>
  </si>
  <si>
    <t xml:space="preserve">  04°45'47.48"N</t>
  </si>
  <si>
    <t xml:space="preserve"> 04°45'50.70"N</t>
  </si>
  <si>
    <t xml:space="preserve">  04°45'48.00"N</t>
  </si>
  <si>
    <t>SUPERBODEGA MAICAO PH.</t>
  </si>
  <si>
    <t>103566.33</t>
  </si>
  <si>
    <t>CONJUNTO RESIDENCIAL CAMPANARES P.H</t>
  </si>
  <si>
    <t>AGRUPACIÓN EL ALCAPARRO P.H</t>
  </si>
  <si>
    <t>AGRUPACIÓN DURAZNILLO Y PIMIENTO P.H</t>
  </si>
  <si>
    <t>04°49'22,4'' N</t>
  </si>
  <si>
    <t>AGRUPACIÓN EL MOSTAJO P.H</t>
  </si>
  <si>
    <t>SDA-05-2010-1113</t>
  </si>
  <si>
    <t xml:space="preserve">  04°49'10,7"N</t>
  </si>
  <si>
    <t>AGRUPACIÓN EL MANGLE P.H</t>
  </si>
  <si>
    <t>SDA-05-10-2033</t>
  </si>
  <si>
    <t>ARND</t>
  </si>
  <si>
    <t>SDA-05-2010-2032</t>
  </si>
  <si>
    <t>SDA-05-2011-2256</t>
  </si>
  <si>
    <t>04°49'02,50783"N</t>
  </si>
  <si>
    <t>CONJUNTO RESIDENCIAL PALO BLANCO PH</t>
  </si>
  <si>
    <t>SDA-05-2012-286</t>
  </si>
  <si>
    <t>04°48'58,35522" N</t>
  </si>
  <si>
    <t>AGRUPACIÓN LOS CANELOS P.H</t>
  </si>
  <si>
    <t>SDA-05-2011-1534</t>
  </si>
  <si>
    <t>SDA-05-2011-1532</t>
  </si>
  <si>
    <t>04°48'58,44299"N</t>
  </si>
  <si>
    <t>SDA-05-2011-1530</t>
  </si>
  <si>
    <t>SDA-05-2011-1765</t>
  </si>
  <si>
    <t>CONDOMINIO LA MIMOSA P.H</t>
  </si>
  <si>
    <t>SDA-05-2011-1535</t>
  </si>
  <si>
    <t>AGRUPACIÓN MACANA P.H</t>
  </si>
  <si>
    <t>UNIDAD RESIDENCIAL LAS ACACIAS P.H</t>
  </si>
  <si>
    <t>AGRUPACIÓN EL MANDARINO P.H</t>
  </si>
  <si>
    <t>AGRUPACIÓN EL ALMENDRO P.H</t>
  </si>
  <si>
    <t>CONGREGACIÓN DE LOS CLERIGOS DE SAN VIATOR - COLEGIO SAN VIATOR</t>
  </si>
  <si>
    <t>SDA-05-2009-3337</t>
  </si>
  <si>
    <t>CENTRO COMERCIAL BIMA P.H.</t>
  </si>
  <si>
    <t>GIMNASIO CRISTIANO ADONAI</t>
  </si>
  <si>
    <t>JARDINES DEL RECUERDO - PARQUES Y FUNERARIAS S.A.S</t>
  </si>
  <si>
    <t>CLUB CAMPESTRE CAFAM</t>
  </si>
  <si>
    <t>SDA-05-2008-1613</t>
  </si>
  <si>
    <t>CORPORACIÓN CLUB CAMPESTRE GUAYMARAL</t>
  </si>
  <si>
    <t>SDA-05-2012-1279</t>
  </si>
  <si>
    <t>MULTIPARQUE CREATIVO S.A</t>
  </si>
  <si>
    <t>SDA-05-2013-59</t>
  </si>
  <si>
    <t>CONJUNTO RESIDENCIAL EL CARRIZO</t>
  </si>
  <si>
    <t>SDA-05-2011-2257</t>
  </si>
  <si>
    <t>SDA-05-2013-2230</t>
  </si>
  <si>
    <t>COLOMBIANA DE COMERCIO S.A, CORBETA S.A, FOTON</t>
  </si>
  <si>
    <t>SDA-05-2010-1535</t>
  </si>
  <si>
    <t>AGRUPACIÓN MACAGUA P.H</t>
  </si>
  <si>
    <t>SDA-05-2012-2257</t>
  </si>
  <si>
    <t>SOCIEDAD EDUCACIONAL ANDINA S.A.
GIMNASIO LOS ANDES.</t>
  </si>
  <si>
    <t>Intremitente</t>
  </si>
  <si>
    <t>ASOCIACIÓN EDUCANDO CON CRISTO
COLEGIO EL CAMINO ACADEMY</t>
  </si>
  <si>
    <t>SDA-05-2015-6465</t>
  </si>
  <si>
    <t>04°48'58,80''N</t>
  </si>
  <si>
    <t xml:space="preserve">AK 104 235 B 35 </t>
  </si>
  <si>
    <t>KR 71 237 A 61</t>
  </si>
  <si>
    <t>04°49'12,30''N</t>
  </si>
  <si>
    <t>04°48'59,28''N</t>
  </si>
  <si>
    <t>KR 72 236 51</t>
  </si>
  <si>
    <t>04°48'59,82''N</t>
  </si>
  <si>
    <t>DG 237 105 40</t>
  </si>
  <si>
    <t>04°48'50,80''N</t>
  </si>
  <si>
    <t>AK 45 197 75</t>
  </si>
  <si>
    <t>04°46'37.5''N</t>
  </si>
  <si>
    <t>KR 68 180 25</t>
  </si>
  <si>
    <t xml:space="preserve">  04°45'53.26"N</t>
  </si>
  <si>
    <t xml:space="preserve">  04°49'03.36"N</t>
  </si>
  <si>
    <t>KR 77 239 45</t>
  </si>
  <si>
    <t>CL 238 55 65</t>
  </si>
  <si>
    <t xml:space="preserve">  04°49'02.88"N</t>
  </si>
  <si>
    <t>CL 238 77 80</t>
  </si>
  <si>
    <t>04°49'10.44"N</t>
  </si>
  <si>
    <t>CL 194 45 51</t>
  </si>
  <si>
    <t xml:space="preserve">  04°46'21.40"N</t>
  </si>
  <si>
    <t xml:space="preserve">  04°46'20.20"N</t>
  </si>
  <si>
    <t xml:space="preserve">  04°46'19.81"N</t>
  </si>
  <si>
    <t>CL 238 55 39</t>
  </si>
  <si>
    <t>04°49'04,300' N</t>
  </si>
  <si>
    <t>04°48'52,81220"N</t>
  </si>
  <si>
    <t>CL 238 55 50</t>
  </si>
  <si>
    <t>CL 241 52 81</t>
  </si>
  <si>
    <t>04°49'07,458'' N</t>
  </si>
  <si>
    <t>KR 77 236 40</t>
  </si>
  <si>
    <t>04°49’01,347”N</t>
  </si>
  <si>
    <t>KR 52 237 93</t>
  </si>
  <si>
    <t>KR 77 236 80</t>
  </si>
  <si>
    <t xml:space="preserve">  04°49'05.70"N</t>
  </si>
  <si>
    <t>KR 61 236 A 81</t>
  </si>
  <si>
    <t>04°49'00,322''N</t>
  </si>
  <si>
    <t>KR 77 236 36</t>
  </si>
  <si>
    <t xml:space="preserve"> 04°48'54.72"N</t>
  </si>
  <si>
    <t>KR 77 235 45</t>
  </si>
  <si>
    <t>04°48'46''N</t>
  </si>
  <si>
    <t xml:space="preserve">  04°49'13.98"N</t>
  </si>
  <si>
    <t>04°49'02,06''N</t>
  </si>
  <si>
    <t>KR 52 237 50</t>
  </si>
  <si>
    <t xml:space="preserve">
04°48'45,642''N
</t>
  </si>
  <si>
    <t xml:space="preserve">  04°49'16.60"N</t>
  </si>
  <si>
    <t>CL 238 61 85</t>
  </si>
  <si>
    <t>04°48'59,2''N</t>
  </si>
  <si>
    <t>AK 45 209 51</t>
  </si>
  <si>
    <t>04°47'18,3''N</t>
  </si>
  <si>
    <t>KR 78 179 65</t>
  </si>
  <si>
    <t xml:space="preserve">  04°46'05.90"N</t>
  </si>
  <si>
    <t>AK 45 232 35</t>
  </si>
  <si>
    <t>04°48'34,90''N</t>
  </si>
  <si>
    <t>KR 72 181 85</t>
  </si>
  <si>
    <t>04°46'07,9''N</t>
  </si>
  <si>
    <t>Autopista Norte 207 41</t>
  </si>
  <si>
    <t>04°49'32.70''N</t>
  </si>
  <si>
    <t xml:space="preserve">  04°48'23.70"N</t>
  </si>
  <si>
    <t>CL 239 A 72 99</t>
  </si>
  <si>
    <t xml:space="preserve">  04°49'26.91"N</t>
  </si>
  <si>
    <t>KR 47 237 80</t>
  </si>
  <si>
    <t xml:space="preserve">  04°48'56.46"N</t>
  </si>
  <si>
    <t xml:space="preserve">  04°49'01.97"N</t>
  </si>
  <si>
    <t>KR 77 238 40</t>
  </si>
  <si>
    <t xml:space="preserve">  04°49'11.00"N</t>
  </si>
  <si>
    <t xml:space="preserve">AC 209 45 80  </t>
  </si>
  <si>
    <t>04°47'20,9''N</t>
  </si>
  <si>
    <t xml:space="preserve">  04°47'56.80"N</t>
  </si>
  <si>
    <t>CL 221 52 30</t>
  </si>
  <si>
    <t xml:space="preserve">CL 182 76 91 </t>
  </si>
  <si>
    <t>KR 51 215 20</t>
  </si>
  <si>
    <t>KR 80 172 A 35</t>
  </si>
  <si>
    <t>CLUB CAMPESTRE EL RANCHO</t>
  </si>
  <si>
    <t>AUTONIZA S.A</t>
  </si>
  <si>
    <t>SDA-05-2013-111</t>
  </si>
  <si>
    <t>04°45'41''N</t>
  </si>
  <si>
    <t>FUNDACIÓN INSTITUTO ALBERTO MERANI</t>
  </si>
  <si>
    <t xml:space="preserve"> BAVARIA S,A, - SEDE SOCIAL Y DEPORTIVA NIMAJAY</t>
  </si>
  <si>
    <t>AGRUPACIÓN  EL MANZANO PROPIEDAD HORIZONTAL</t>
  </si>
  <si>
    <t>AGRUPACIÓN EL MAGNOLIO PH</t>
  </si>
  <si>
    <t>CONJUNTO RESIDENCIAL EL CEREZO PH</t>
  </si>
  <si>
    <t>SDA-05-2016-1827</t>
  </si>
  <si>
    <t>GIMNASIO SAN ÁNGELO</t>
  </si>
  <si>
    <t>SDA-05-2009-675</t>
  </si>
  <si>
    <t>CL 194 45 20</t>
  </si>
  <si>
    <t>AC 170 69 80
Dirección de correspondencia: TV 60 115 56</t>
  </si>
  <si>
    <t>Dirección de correspondencia: KR 53 A 127 35, piso 6. 
AK 45 224 70</t>
  </si>
  <si>
    <t>AK 72 236 85</t>
  </si>
  <si>
    <t>CL 223 53 63</t>
  </si>
  <si>
    <t xml:space="preserve">ARND Venta de vehículos. </t>
  </si>
  <si>
    <t xml:space="preserve">  04°46'28.49"N</t>
  </si>
  <si>
    <t xml:space="preserve">  04°45'41.90"N</t>
  </si>
  <si>
    <t>04°48'26,5''N</t>
  </si>
  <si>
    <t>04°49'06,204''N</t>
  </si>
  <si>
    <t>04°49'03,5724''N</t>
  </si>
  <si>
    <t>04°46'02.40"N</t>
  </si>
  <si>
    <t>QUINTAS DE SAN JOSE I</t>
  </si>
  <si>
    <t>KR 67  180  65</t>
  </si>
  <si>
    <t>SDA-08-2014-3575</t>
  </si>
  <si>
    <t>intermitente</t>
  </si>
  <si>
    <t>No presentó autodeclaración de vertimientos.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t>
  </si>
  <si>
    <t>CONJUNTO RESIDENCIAL PALMAR DE SAN JOSE
QUIÑONES GÓMEZ Y CIA S EN CS</t>
  </si>
  <si>
    <t>SDA-05-2009-383</t>
  </si>
  <si>
    <t>118481.65</t>
  </si>
  <si>
    <t>102220.30</t>
  </si>
  <si>
    <t>CASA PIEDRA DEL SOL- ALFONSO MARTINEZ MARTINEZ</t>
  </si>
  <si>
    <t>SDA-05-2015-8560</t>
  </si>
  <si>
    <t>102477.2</t>
  </si>
  <si>
    <t xml:space="preserve">CONJUNTO BRISAS DE SAN JOSÉ </t>
  </si>
  <si>
    <t>Sí</t>
  </si>
  <si>
    <t>03688
 (2017EE263771)</t>
  </si>
  <si>
    <t xml:space="preserve">CASAS BALLI </t>
  </si>
  <si>
    <t>KR 67  180  45</t>
  </si>
  <si>
    <t>SDA-05-2013-2452</t>
  </si>
  <si>
    <t>GROUP OF DESIGN OFICINA DE DISEÑO Y
ARQUITECTURA S.A.S sigla - GROUP OF DESIGN S.A.S
CONJUNTO RESIDENCIAL CASA DE CAMPO</t>
  </si>
  <si>
    <t>SDA-05-2014-1135</t>
  </si>
  <si>
    <t>118354.11</t>
  </si>
  <si>
    <t>101919.71</t>
  </si>
  <si>
    <t>CONJUNTO RESIDENCIAL PAPYROS P.H</t>
  </si>
  <si>
    <t>SDA-05-2009-2969</t>
  </si>
  <si>
    <t>SDA-05-2017-516</t>
  </si>
  <si>
    <t>CONGREGACIÓN MISIONEROS OBLATOS DE LOS CORAZONES SANTÍSIMOS DE JESÚS Y MARÍA - LICEO MATOVELLE</t>
  </si>
  <si>
    <t>SDA-05-2008-3648</t>
  </si>
  <si>
    <t>MOTO MART S.A.</t>
  </si>
  <si>
    <t>ORDEN DE LA COMPAÑÍA DE MARÍA NUESTRA SEÑORA - COLEGIO DE LA ENSEÑANZA</t>
  </si>
  <si>
    <t>CONJUNTO RESIDENCIAL EUCALIPTOS</t>
  </si>
  <si>
    <t>No presentó autodeclaración de vertimientos.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t>
  </si>
  <si>
    <t>CONJUNTO RESIDENCIAL TAMAUCA</t>
  </si>
  <si>
    <t>SDA-08-2015-1633</t>
  </si>
  <si>
    <t>CONJUNTO RESIDENCIAL MOCALA PH</t>
  </si>
  <si>
    <t>Tunjuelo</t>
  </si>
  <si>
    <t>LADRILLERA HELIOS S.A</t>
  </si>
  <si>
    <t>SDA-05-2008-960</t>
  </si>
  <si>
    <t>ARND - PV1</t>
  </si>
  <si>
    <t>ARND - PV2</t>
  </si>
  <si>
    <t>ARND - PV4</t>
  </si>
  <si>
    <t>ARND - PV5</t>
  </si>
  <si>
    <t>ARND - PV6</t>
  </si>
  <si>
    <t>ARND - PV7</t>
  </si>
  <si>
    <t>ARND - PV 8</t>
  </si>
  <si>
    <t>LADRILLERAS YOMASA S.A.</t>
  </si>
  <si>
    <t>ARND -PV1</t>
  </si>
  <si>
    <t>ARND - PV3</t>
  </si>
  <si>
    <t>LADRILLERA ZIGURAT S.A.S</t>
  </si>
  <si>
    <t>LADRILLERA PRISMA S.A.S</t>
  </si>
  <si>
    <t>UAESP - RELLENO SANITARIO DOÑA JUANA</t>
  </si>
  <si>
    <t>Continuo</t>
  </si>
  <si>
    <t>Efluente PTAR</t>
  </si>
  <si>
    <t>PTAR MOCHUELO</t>
  </si>
  <si>
    <t>INVERSIONES MONTESACRO. SEDE PARQUE SERAFIN</t>
  </si>
  <si>
    <t>SDA 05-2007-1508
 SDA-05-2007-1524</t>
  </si>
  <si>
    <t>PR INVERSIONES ASOCIADAS SAS</t>
  </si>
  <si>
    <t xml:space="preserve">CONJUNTO RESIDENCIAL DE NAVARRA </t>
  </si>
  <si>
    <t>KR 78 173 50</t>
  </si>
  <si>
    <t>No presentó autodeclaración de vertimientos,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Información del usuario tomada del I.T 00931 del 01/08/2016 (2016IE130868 del 01/08/201).</t>
  </si>
  <si>
    <t>CL 180 65  80</t>
  </si>
  <si>
    <t>KR 65 180 50</t>
  </si>
  <si>
    <t>KR 65 180 20</t>
  </si>
  <si>
    <t>CL 175 67 89 
CHIP AAA0122EWPA</t>
  </si>
  <si>
    <t>KR 65 175 65</t>
  </si>
  <si>
    <t>KR 105 238 55</t>
  </si>
  <si>
    <t>KR 65 170 45</t>
  </si>
  <si>
    <t>AK 45 242 34</t>
  </si>
  <si>
    <t>AC 201 67 12</t>
  </si>
  <si>
    <t>CL 173 76 85</t>
  </si>
  <si>
    <t>KR 78 181 40</t>
  </si>
  <si>
    <t>AK 104 235 58</t>
  </si>
  <si>
    <t>AC 71 Sur 4 09</t>
  </si>
  <si>
    <t xml:space="preserve">
CONJUNTO RESIDENCIAL PIAMONTE DE MARIANA</t>
  </si>
  <si>
    <t>SDA-08-2015-6599</t>
  </si>
  <si>
    <t>CONJUNTO RESIDENCIAL ALTOS DE GUADALQUIVIR P.H</t>
  </si>
  <si>
    <t>KR 80 175 35</t>
  </si>
  <si>
    <t>CL 215 50 60</t>
  </si>
  <si>
    <t xml:space="preserve">Autopista Norte 235 71 </t>
  </si>
  <si>
    <t>04°45'49,03332"N</t>
  </si>
  <si>
    <t>04°45'43,68766"N</t>
  </si>
  <si>
    <t>04°49'06,61329"N</t>
  </si>
  <si>
    <t>CONJUNTO CAMPESTRE BUGAMBILLES P.H.</t>
  </si>
  <si>
    <t>ARD (Agua residual no doméstica preescolar)</t>
  </si>
  <si>
    <t>ARD (Trampa de Grasas)</t>
  </si>
  <si>
    <t>ARD (Agua residual no doméstica bachillerato)</t>
  </si>
  <si>
    <t>CORPORACIÓN LICEO DE LA SABANA LTDA</t>
  </si>
  <si>
    <t>KR 65 170 65</t>
  </si>
  <si>
    <t>CONJUNTO RESIDENCIAL PALO ALTO P.H</t>
  </si>
  <si>
    <t>SDA-05-2015-8712</t>
  </si>
  <si>
    <t>CONJUNTO RESIDENCIAL LA PRADERA P.H</t>
  </si>
  <si>
    <t>CL 175 70 14</t>
  </si>
  <si>
    <t>SDA-05-2017-1612</t>
  </si>
  <si>
    <t>CONJUNTO RESIDENCIAL SAN FELIPE</t>
  </si>
  <si>
    <t>CONJUNTO SANTIAGO DE COMPOSTELA PH</t>
  </si>
  <si>
    <t>KR 68 180 90</t>
  </si>
  <si>
    <t>SDA-08-2015-6392</t>
  </si>
  <si>
    <t>KR 78 175 90</t>
  </si>
  <si>
    <t>SDA-08-2015-8289</t>
  </si>
  <si>
    <t>CONJUNTO RESIDENCIAL TERRAZAS DE SAN JOSÉ I</t>
  </si>
  <si>
    <t>CONJUNTO RESIDENCIAL TERRAZAS DE SAN JOSÉ II</t>
  </si>
  <si>
    <t>CONJUNTO RESIDENCIAL ALGECIRAS P.H</t>
  </si>
  <si>
    <t>CL 175 78 45</t>
  </si>
  <si>
    <t>SDA-05-2017-1063</t>
  </si>
  <si>
    <t>SDA-08-2015-6551</t>
  </si>
  <si>
    <t>AGRUPACIÓN LOS FRESNOS</t>
  </si>
  <si>
    <t>KR 70 180 35</t>
  </si>
  <si>
    <t>SDA-08-2015-6348</t>
  </si>
  <si>
    <t>KR 80 172A 90</t>
  </si>
  <si>
    <t>SDA-05-2005-575</t>
  </si>
  <si>
    <t>OBISPADO CASTRENSE DE COLOMBIA</t>
  </si>
  <si>
    <t>KR 80 170 25</t>
  </si>
  <si>
    <t>CONJUNTO RESIDENCIAL QUINTAS DE BAVIERA</t>
  </si>
  <si>
    <t>AK 78 179 20</t>
  </si>
  <si>
    <t>METROKIA S.A (SEDE CL 224)</t>
  </si>
  <si>
    <t>CL 224 9 60</t>
  </si>
  <si>
    <t>SDA-05-2011-1616</t>
  </si>
  <si>
    <t>30/12/2016
23/02/2018</t>
  </si>
  <si>
    <t>17/02/2017
No reporta</t>
  </si>
  <si>
    <t>6/03/2017
Noreporta</t>
  </si>
  <si>
    <t>02561 ( 2016EE236379 del 30/12/2016)
00449- Aclaración- (2018EE35952 del 23/02/2018)</t>
  </si>
  <si>
    <t>Río Principal Asociado</t>
  </si>
  <si>
    <t>1056
(2018EE82987 del 17/04/2018)</t>
  </si>
  <si>
    <t xml:space="preserve">733
(2018EE54862 del 16/03/2018) </t>
  </si>
  <si>
    <t>SDA-05-2017-1762</t>
  </si>
  <si>
    <t>SDA-05-2015-8595</t>
  </si>
  <si>
    <t>SDA-05-2017-682</t>
  </si>
  <si>
    <t>SDA-05-2015-5351</t>
  </si>
  <si>
    <t>SDA-08-2015-7615</t>
  </si>
  <si>
    <t>SDA-05-2017-29</t>
  </si>
  <si>
    <t>SDA-08-2017-1655</t>
  </si>
  <si>
    <t>SDA-05-2010-2966</t>
  </si>
  <si>
    <t>03657
 (2018EE272344 del 22/11/2018)</t>
  </si>
  <si>
    <t>01401
(2017EE116968 del 23/06/2017)
00780
(2018EE58054 del 21/03/2018)</t>
  </si>
  <si>
    <t>23/06/2017
21/03/2018</t>
  </si>
  <si>
    <t>01932
(2018EE146747 del 25/06/2018)</t>
  </si>
  <si>
    <t>SDA-05-2016-1227</t>
  </si>
  <si>
    <t xml:space="preserve">02679
(2018EE199820 del 28/08/2018) </t>
  </si>
  <si>
    <t>CORPORACIÓN BOGOTÁ TENIS CLUB</t>
  </si>
  <si>
    <t>MOTORES Y MAQUINAS S.A. -MOTORYSA</t>
  </si>
  <si>
    <t>SDA-05-2017-438</t>
  </si>
  <si>
    <t>KR 68 180 30</t>
  </si>
  <si>
    <t>KR 72 238 44</t>
  </si>
  <si>
    <t>KR 72 236 35</t>
  </si>
  <si>
    <t>KR 77 238 14</t>
  </si>
  <si>
    <t>KR 77 238 50</t>
  </si>
  <si>
    <t>AK 45 (Autopista Norte) 245 01</t>
  </si>
  <si>
    <t>AK 45 224 60 Costado Oriental</t>
  </si>
  <si>
    <t>AK 45 (Autopista Norte) 244 95  KM 17 (Costado Occidental)</t>
  </si>
  <si>
    <t>CL 11 31 A 42
(Dirección de correspondencia)
AK 45 (Autopista Norte) 242 10</t>
  </si>
  <si>
    <t>74°03'21,06''W</t>
  </si>
  <si>
    <t>74°03'21,36''W</t>
  </si>
  <si>
    <t>74°03'15,66''W</t>
  </si>
  <si>
    <t>74°03'25,98''W</t>
  </si>
  <si>
    <t>74°03'21,6''W</t>
  </si>
  <si>
    <t>74°03'21,0''W</t>
  </si>
  <si>
    <t>74°02'43.4''W</t>
  </si>
  <si>
    <t xml:space="preserve"> 74°03'30.37"W</t>
  </si>
  <si>
    <t xml:space="preserve"> 74°02'27.72"W</t>
  </si>
  <si>
    <t>74°03'05,6''W</t>
  </si>
  <si>
    <t xml:space="preserve"> 74°02'45.54"W</t>
  </si>
  <si>
    <t xml:space="preserve"> 74°03'11,4"W</t>
  </si>
  <si>
    <t xml:space="preserve"> 74°02'52.32"W</t>
  </si>
  <si>
    <t xml:space="preserve"> 74°02'46.36"W</t>
  </si>
  <si>
    <t xml:space="preserve"> 74°02'41.23"W</t>
  </si>
  <si>
    <t xml:space="preserve"> 74°02'43.15"W</t>
  </si>
  <si>
    <t>74°02'52,100"W</t>
  </si>
  <si>
    <t>74°02'57,89137"W</t>
  </si>
  <si>
    <t>74°02'45,64305"W</t>
  </si>
  <si>
    <t>74°02'35,384''W</t>
  </si>
  <si>
    <t>74°03'10,11353"W</t>
  </si>
  <si>
    <t>74°03’09.198”W</t>
  </si>
  <si>
    <t>74°02'26,32995"W</t>
  </si>
  <si>
    <t xml:space="preserve"> 74°03'07.30"W</t>
  </si>
  <si>
    <t>74°03'09,503"W</t>
  </si>
  <si>
    <t xml:space="preserve"> 74°03'10.14"W</t>
  </si>
  <si>
    <t>74°03'12,9''W</t>
  </si>
  <si>
    <t xml:space="preserve"> 74°03'07.08"W</t>
  </si>
  <si>
    <t>74°02'29,6''W</t>
  </si>
  <si>
    <t>74°02'22,87''W</t>
  </si>
  <si>
    <t xml:space="preserve"> 74°03'06.40"W</t>
  </si>
  <si>
    <t>74°02'36,1''W</t>
  </si>
  <si>
    <t>74°02'29,7''W</t>
  </si>
  <si>
    <t xml:space="preserve"> 74°03'54.50"W</t>
  </si>
  <si>
    <t>74°02'24,91''W</t>
  </si>
  <si>
    <t>74°03'35,2''W</t>
  </si>
  <si>
    <t>74°02'10,52''W</t>
  </si>
  <si>
    <t xml:space="preserve"> 74°02'02.00"W</t>
  </si>
  <si>
    <t xml:space="preserve"> 74°03'05.23"W</t>
  </si>
  <si>
    <t xml:space="preserve"> 74°02'25.92"W</t>
  </si>
  <si>
    <t xml:space="preserve"> 74°02'06.90"W</t>
  </si>
  <si>
    <t xml:space="preserve"> 74°03'06.90"W</t>
  </si>
  <si>
    <t>74°02'38.7''W</t>
  </si>
  <si>
    <t xml:space="preserve"> 74°02'35.80"W</t>
  </si>
  <si>
    <t xml:space="preserve"> 74°02'35.89"W</t>
  </si>
  <si>
    <t xml:space="preserve"> 74°03'55.30"W</t>
  </si>
  <si>
    <t>74°04'00,00''W</t>
  </si>
  <si>
    <t>74°03'30.40"W</t>
  </si>
  <si>
    <t>74°01'58,4''W</t>
  </si>
  <si>
    <t>74°02'59,172''W</t>
  </si>
  <si>
    <t>74°03'07,8876''W</t>
  </si>
  <si>
    <t xml:space="preserve"> 74°03'25.90"W</t>
  </si>
  <si>
    <t xml:space="preserve"> 74°03'21.76"W</t>
  </si>
  <si>
    <t>74°03'55.85"W</t>
  </si>
  <si>
    <t xml:space="preserve"> 74°03'58.43"W</t>
  </si>
  <si>
    <t xml:space="preserve"> 74°03'57.12"W</t>
  </si>
  <si>
    <t>74°03'50,124"W</t>
  </si>
  <si>
    <t xml:space="preserve"> 74° 03'50.10"W</t>
  </si>
  <si>
    <t>74°03'44,3"W</t>
  </si>
  <si>
    <t xml:space="preserve"> 74°03'47.70"W</t>
  </si>
  <si>
    <t xml:space="preserve"> 74°03'31.14"W</t>
  </si>
  <si>
    <t xml:space="preserve"> 74°03'27.00"W</t>
  </si>
  <si>
    <t xml:space="preserve"> 74°03'35.88"W</t>
  </si>
  <si>
    <t>74°03'34.32"W</t>
  </si>
  <si>
    <t>74°03'49.45"W</t>
  </si>
  <si>
    <t>74°03'49.58"W</t>
  </si>
  <si>
    <t>74°03'34.45"W</t>
  </si>
  <si>
    <t>74°04'06.60"W</t>
  </si>
  <si>
    <t>74°04'03.39"W</t>
  </si>
  <si>
    <t>74°04'01.95"W</t>
  </si>
  <si>
    <t>74°04'09.28"W</t>
  </si>
  <si>
    <t>04°45'52.92"N</t>
  </si>
  <si>
    <t>74°04'03.33"W</t>
  </si>
  <si>
    <t>74°03'51.32"W</t>
  </si>
  <si>
    <t>74° 2'25.36"W</t>
  </si>
  <si>
    <t>04°47'30.05"N</t>
  </si>
  <si>
    <t>74°02'25.36"W</t>
  </si>
  <si>
    <t>74°03'18.5"W</t>
  </si>
  <si>
    <t>74°03'20.2"W</t>
  </si>
  <si>
    <t>74°03'49.32"W</t>
  </si>
  <si>
    <t>04°45'53.3"N</t>
  </si>
  <si>
    <t xml:space="preserve"> 74°03'34.91"W</t>
  </si>
  <si>
    <t xml:space="preserve"> 74°03'53.60"W</t>
  </si>
  <si>
    <t xml:space="preserve"> 74°03'52.30"W</t>
  </si>
  <si>
    <t xml:space="preserve"> 74°03'52.38"W</t>
  </si>
  <si>
    <t xml:space="preserve"> 74°03'28.37"W</t>
  </si>
  <si>
    <t>74°04'00.77"W</t>
  </si>
  <si>
    <t xml:space="preserve"> 74°03'47.66"W</t>
  </si>
  <si>
    <t xml:space="preserve"> 74°03'49.90"W</t>
  </si>
  <si>
    <t>74°03´27.06”W</t>
  </si>
  <si>
    <t>04°45´47.83” N</t>
  </si>
  <si>
    <t>74°03'18,73616"W</t>
  </si>
  <si>
    <t>74º03’20,84”W</t>
  </si>
  <si>
    <t>04º45’46,09”N</t>
  </si>
  <si>
    <t>74°03'36,82054"W</t>
  </si>
  <si>
    <t xml:space="preserve"> 74°03'25.08"W</t>
  </si>
  <si>
    <t>04°45'41.16"N</t>
  </si>
  <si>
    <t>04°45'40.44"N</t>
  </si>
  <si>
    <t xml:space="preserve"> 74°03'25.62"W</t>
  </si>
  <si>
    <t>74°03'21,59160"W</t>
  </si>
  <si>
    <t>04°48’,55.48”N</t>
  </si>
  <si>
    <t>74°02’15.94’’W</t>
  </si>
  <si>
    <t>74°04'03,235"W</t>
  </si>
  <si>
    <t>04°45'53,116"N</t>
  </si>
  <si>
    <t>74°03´21,076"W</t>
  </si>
  <si>
    <t>04°48´50,377''N</t>
  </si>
  <si>
    <t>04°31'06.086"N</t>
  </si>
  <si>
    <t>74°06'43.584"W</t>
  </si>
  <si>
    <t>74°06'51.843"W</t>
  </si>
  <si>
    <t>04°31'09.770"N</t>
  </si>
  <si>
    <t>74°06'33.229"W</t>
  </si>
  <si>
    <t>04°31'36.407"N</t>
  </si>
  <si>
    <t>74°06'42.213"W</t>
  </si>
  <si>
    <t>04°31'36.620"N</t>
  </si>
  <si>
    <t>74°06'40.095"W</t>
  </si>
  <si>
    <t>04°31'29.745"N</t>
  </si>
  <si>
    <t>74°06'42.683"W</t>
  </si>
  <si>
    <t>04°31'30.742"N</t>
  </si>
  <si>
    <t>74°06'32.167"W</t>
  </si>
  <si>
    <t>04°31'35.978"N</t>
  </si>
  <si>
    <t xml:space="preserve"> 74°06'29.95"W</t>
  </si>
  <si>
    <t>04°30'54.07"N</t>
  </si>
  <si>
    <t>04°30'57.79"N</t>
  </si>
  <si>
    <t>04°30'59.84"N</t>
  </si>
  <si>
    <t>04°31'05.67"N</t>
  </si>
  <si>
    <t xml:space="preserve"> 74°06'35.37"W</t>
  </si>
  <si>
    <t xml:space="preserve"> 74°06'37.20"W</t>
  </si>
  <si>
    <t xml:space="preserve"> 74°06'43.04"W</t>
  </si>
  <si>
    <t>04°31'29,71"N</t>
  </si>
  <si>
    <t>74°06'50,50"W</t>
  </si>
  <si>
    <t>74°06'48,3"W</t>
  </si>
  <si>
    <t>04°31'29,7"N</t>
  </si>
  <si>
    <t>74°06'46,5"W</t>
  </si>
  <si>
    <t>04°31'30,1"N</t>
  </si>
  <si>
    <t xml:space="preserve"> 74°07'32.12"W</t>
  </si>
  <si>
    <t>04°31'59.21"N</t>
  </si>
  <si>
    <t>04°45'52.68"N</t>
  </si>
  <si>
    <t xml:space="preserve"> 74°03'23.64"W</t>
  </si>
  <si>
    <t xml:space="preserve">  04°45'54.90"N</t>
  </si>
  <si>
    <t xml:space="preserve"> 74°03'22.10"W</t>
  </si>
  <si>
    <t>04º45’46,30”N</t>
  </si>
  <si>
    <t>74º03’21,12”W</t>
  </si>
  <si>
    <t xml:space="preserve">CL 175 72 95 </t>
  </si>
  <si>
    <t xml:space="preserve">  04°45'54.26"N</t>
  </si>
  <si>
    <t xml:space="preserve"> 74°03'51.06"W</t>
  </si>
  <si>
    <t>04°46'08.66"N</t>
  </si>
  <si>
    <t xml:space="preserve"> 74°03'59.97"W</t>
  </si>
  <si>
    <t>No presentó autodeclaración. Se toma el dato del radicado permiso de vertimientos SDA No. 2017ER202639 del 12/10/2017, 
Autodeclaración 2018ER35126 del 22/02/2018, fecha de monitoreo: 02/10/2017, laboratorio Hidrolab.</t>
  </si>
  <si>
    <t xml:space="preserve"> 74°03'34.86"W</t>
  </si>
  <si>
    <t xml:space="preserve">  04°45'27.89"N</t>
  </si>
  <si>
    <t>CL 175 70 75</t>
  </si>
  <si>
    <t xml:space="preserve">  4°45'48.16"N</t>
  </si>
  <si>
    <t xml:space="preserve"> 74°03'22.50"W</t>
  </si>
  <si>
    <t xml:space="preserve">  04°46'02.10"N</t>
  </si>
  <si>
    <t xml:space="preserve"> 74° 3'47.20"W</t>
  </si>
  <si>
    <t xml:space="preserve"> 74°03'55.56"W</t>
  </si>
  <si>
    <t xml:space="preserve">  04°46'04.08"N</t>
  </si>
  <si>
    <t>04°45'46.50"N</t>
  </si>
  <si>
    <t xml:space="preserve"> 74°04'14.43"W</t>
  </si>
  <si>
    <t xml:space="preserve">No presentó autodeclaración de vertimientos. Se toma el dato del radicado SDA No. 2018ER267279 del 15/11/2018, fecha de monitoreo: 15/09/2018.Laboratorio Analquim Ltda (caracterización del vertimiento). </t>
  </si>
  <si>
    <t xml:space="preserve"> 74°03'53.95"W</t>
  </si>
  <si>
    <t xml:space="preserve">  04°46'05.92"N</t>
  </si>
  <si>
    <t xml:space="preserve"> 74°02'14.90"W</t>
  </si>
  <si>
    <t xml:space="preserve">  04°48'07.90"N</t>
  </si>
  <si>
    <t>DG 72 Sur 8 C 06
Av. Carrera 15 No 122 – 39 Torre 1 Oficina 705.  Calle 95 No.11-51. Oficina 404 (Dirección de Notificación)</t>
  </si>
  <si>
    <t>DG 78 B Sur 2 89 Este
Av. Carrera 15 No 122 – 39 Torre 1 Oficina 705 - Calle 95 No.11-51. Oficina 404 (Dirección de Notificación)</t>
  </si>
  <si>
    <t>TV 4 69 G 02 Sur (Planta industrial)
CL 69 G SUR 6 A 07
CL 121 6 46 Oficina 236 (Dir Correspondencia)</t>
  </si>
  <si>
    <t>DG 69 A Sur 1 G Este 24 (Km 10 vía Usme)
CL 121 No 6 – 46 Oficina 236 (Dir Correspondencia)</t>
  </si>
  <si>
    <t>Av Caracas 53-80, 
KR 13 61 15 (Dirección de correspondencia)</t>
  </si>
  <si>
    <t>No presentó autodeclaración de vertimientos, se estimó la carga contaminante con la información del radicado SDA No. 2017ER158239 del 16/08/2017, fecha de monitoreo: 5/06/2017</t>
  </si>
  <si>
    <t xml:space="preserve"> No presentó autodeclaración de vertimientos. Se toma el dato del PMAE Fase XIV (Radicado CAR 2017ER261481 del 21/12/2017). Muestra CAR No. 5791-17. </t>
  </si>
  <si>
    <t xml:space="preserve">SDA-05-2015-1960
</t>
  </si>
  <si>
    <t>SDA-05-2017-1657</t>
  </si>
  <si>
    <t>No presentó autodeclaración.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(No. de alumnos=600, radicado 2014ER221845)</t>
  </si>
  <si>
    <t>KR 78 175 60</t>
  </si>
  <si>
    <t xml:space="preserve">No presentó autodeclaración de vertimientos.Se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t>
  </si>
  <si>
    <t>AK 104 235 51</t>
  </si>
  <si>
    <t>AK 104 235 B 20</t>
  </si>
  <si>
    <t>KR 52 238 60</t>
  </si>
  <si>
    <t>AK 72 238 51</t>
  </si>
  <si>
    <t>No presentó autodeclaración.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t>
  </si>
  <si>
    <t>No presentó autodeclaración de vertimientos.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t>
  </si>
  <si>
    <t>SDA-05-2017-271</t>
  </si>
  <si>
    <t>KR 77 236 81</t>
  </si>
  <si>
    <t>AGRUPACIÓN LA TAGUA DE SAN SIMÓN P.H</t>
  </si>
  <si>
    <t>AGRUPACIÓN LAS FUCSIAS DE SAN SIMÓN P.H</t>
  </si>
  <si>
    <t>CENTRO DE REHABILITACIÓN M Y A</t>
  </si>
  <si>
    <t>Radicado 2019ER145305 del 28/06/2019. Muestra 2903WI04
Fecha de monitoreo: 29/03/2019. Hora: 10:30 - 12:30</t>
  </si>
  <si>
    <t>AK 72 181 76</t>
  </si>
  <si>
    <t>KR 67 180 88</t>
  </si>
  <si>
    <t>04°45'53.180"N</t>
  </si>
  <si>
    <t>74°03'16.246"W</t>
  </si>
  <si>
    <t>CONJUNTO RESIDENCIAL ZARZAMORA</t>
  </si>
  <si>
    <t>CL 172 A 78 20</t>
  </si>
  <si>
    <t>04°45'50.088"N</t>
  </si>
  <si>
    <t>74°04'6.220"W</t>
  </si>
  <si>
    <t>CONJUNTO RESIDENCIAL EL VERDEGAL</t>
  </si>
  <si>
    <t>KR 76 173 45</t>
  </si>
  <si>
    <t>04°45'49.7303"N</t>
  </si>
  <si>
    <t>74°03'55.8366"W</t>
  </si>
  <si>
    <t>HOGAR DEL NIÑO ANA DE BRIGARD DE MIER
FUNDACIÓN HOGAR SAN MAURICIO</t>
  </si>
  <si>
    <t>CONJUNTO RESIDENCIAL EL EDEN</t>
  </si>
  <si>
    <t>CL 173 76 50</t>
  </si>
  <si>
    <t>CONJUNTO RESIDENCIAL LOS SAUCOS</t>
  </si>
  <si>
    <t>04°46'1.5802"N</t>
  </si>
  <si>
    <t>74°03'47.1720"W</t>
  </si>
  <si>
    <t>KR 76 179 50</t>
  </si>
  <si>
    <t>SDA-05-2014-2113</t>
  </si>
  <si>
    <t>COMUNIDAD DE HERMANAS DE BETHANIA CONSOLADORAS DE LA VIRGEN DE LA DOLOROSA
COLEGIO STELLA MATUTINA SEDE 1</t>
  </si>
  <si>
    <t>SDA-08-2015-6858</t>
  </si>
  <si>
    <t>SDA-05-2003-2252</t>
  </si>
  <si>
    <t>SDA-08-2015-8709</t>
  </si>
  <si>
    <t>CONJUNTO RESIDENCIAL LOS NOGALES DE SAN SIMÓN P.H</t>
  </si>
  <si>
    <t>CONJUNTO RESIDENCIAL EL CEDRO P.H</t>
  </si>
  <si>
    <t>AGRUPACIÓN RESIDENCIAL EL ROBLE DE SAN SIMÓN P.H</t>
  </si>
  <si>
    <t>AGRUPACIÓN EL HIGUERON P.H</t>
  </si>
  <si>
    <t>AGRUPACIÓN RESIDENCIAL EL LAUREL P.H</t>
  </si>
  <si>
    <t>AGRUPACIÓN EL MAGUEY P.H</t>
  </si>
  <si>
    <t>AGRUPACIÓN EL FRAILEJÓN P.H</t>
  </si>
  <si>
    <t>COLEGIO SANTA MARIANA DE JESÚS - HERMANAS MARIANITAS</t>
  </si>
  <si>
    <t>SDA-05-2010-2471</t>
  </si>
  <si>
    <t>SDA-05-2010-329</t>
  </si>
  <si>
    <t>SDA-05-2009-3341</t>
  </si>
  <si>
    <t>AGRUPACIÓN DE LOTES LAS BEGONIAS P.H</t>
  </si>
  <si>
    <t>URBANIZACIÓN EL ROBLE DE SAN SEBASTIÁN P.H</t>
  </si>
  <si>
    <t>CONJUNTO RESIDENCIAL LAS AZALEAS P.H</t>
  </si>
  <si>
    <t>CONJUNTO CAMPESTRE PINOS DE LA ALAMEDA P.H</t>
  </si>
  <si>
    <t>CONJUNTO CAMPESTRE LOS GIRASOLES P.H</t>
  </si>
  <si>
    <t>CONJUNTO CAMPESTRE LAS DALIAS P.H</t>
  </si>
  <si>
    <t>AGRUPACIÓN RESIDENCIAL SAN SEBASTIAN P.H</t>
  </si>
  <si>
    <t>SDA-05-2009-3345</t>
  </si>
  <si>
    <t>SDA-08-2017-1342</t>
  </si>
  <si>
    <t>AGRUPACIÓN RESIDENCIAL LA PLAZOLETA P.H</t>
  </si>
  <si>
    <t>CASA TORO DE LA SABANA S.A.S (ANTES FORD LUMOSA S.A.)</t>
  </si>
  <si>
    <t>SDA-05-2013-1299</t>
  </si>
  <si>
    <t>SDA-05-2018-182</t>
  </si>
  <si>
    <t>CASA TORO S.A</t>
  </si>
  <si>
    <t>Autodeclaración de vertimientos Radicado SDA No. 2020ER03174 del 09/01/2020. Fecha de monitoreo: 3/10/2019. Por el  Laboratorio MCS Consultoría y Monitoreo Ambiental S.A.S. (caracterización del vertimiento).</t>
  </si>
  <si>
    <t>Se estima la carga contaminante como el promedio entre el resultado del PMAE Fase XV y la autodeclaración de vertimientos.</t>
  </si>
  <si>
    <t>Autodeclaración de vertimientos Radicado SDA No. 2020ER03160 09/01/2020. Fecha de monitoreo: 3/10/2019. Por el  Laboratorio MCS Consultoría y Monitoreo Ambiental S.A.S. (caracterización del vertimiento)</t>
  </si>
  <si>
    <t xml:space="preserve">Autodeclaración de vertimientos radicado SDA No. 2020ER07364 del 14/01/2020. fecha de monitoreo: 4/10/2019. Laboratorio Analquim Ltda. Radicado SDA No. 2019ER266113 del 14/11/2019 (caracterización del vertimiento). </t>
  </si>
  <si>
    <t>Con radicado SDA No. 2020ER10031 del 17/01/2020 el usuario informa que presentó su autodeclaración de vertimientos con radicado SDA No. 2019ER93842 del 30/04/2019, fecha de monitoreo: 04/02/2019, hora: 07:00 - 15:00, Laboractorio MCS Consultoría y Monitoreo Ambiental S.A.S..</t>
  </si>
  <si>
    <t xml:space="preserve">Autodeclaración de vertimientos radicado SDA No. 2020ER07370 del 14/01/2020. fecha de monitoreo: 5/08/2019. Hora: 08:00 - 16:00.  Laboratorio Analquim Ltda. Radicado SDA No.2019ER211948 del 12/09/2019 (caracterización del vertimiento).
</t>
  </si>
  <si>
    <t>Autodeclaración de vertimientos radicado SDA No. 2020ER08315 del 15/01/2020, fecha de monitoreo: 14/11/2019, Hora: 08:00 - 15:30, QHSE Asesoría e Ingeniería Ambiental S.A.S. Se corrige el valor del caudal de acuerdo con lo establecido en la cadena de custodia de la caracterización.</t>
  </si>
  <si>
    <t>Autodeclaración de vertimientos radicado SDA No. 2020ER08261 del 15/01/2020, informe de caracterización radicado SDA No. 2018ER303963 del 20/12/2018, fecha monitoreo: 31/10/2018. Laboratorio Conoser Ltda. Se estimó la carga de acuerdo con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(25 lotes, 21 casas, SINUPOT)</t>
  </si>
  <si>
    <t>Autodeclaración de vertimientos radicado SDA No. 2020ER03185 del 9/01/2020, fecha monitoreo: 20/11/2019. Laboratorio MCS Consultoría y Monitoreo Ambiental S.A.S.</t>
  </si>
  <si>
    <t>CONDOMINIO LOS LAURELES P.H</t>
  </si>
  <si>
    <t>Autodeclaración de vertimientos radicado SDA No.2020ER06598 del 14/01/2020, fecha monitoreo: 14/11/2019. Laboratorio Hidrolab. Radicado SDA No. 2019ER291062 del 13/12/2019 (caracterización del vertimiento). Los valores en el formulario de autodeclaración de vertimientos están mal diligenciados de acuerdo con el informe de caracterización del vertimiento.</t>
  </si>
  <si>
    <t>No presentó autodeclaración. Se toma el dato de autodeclaración de vertimientos radicado SDA No.2018ER29421 del 16/02/2018, fecha monitoreo: 31/07/2017. Laboratorio CIAN Ltda. Consultoría y Servicios Ambientales, radicado SDA No. 2017ER196835 del 05/10/2017 (caracterización del vertimiento).</t>
  </si>
  <si>
    <t>KR 77 236 50</t>
  </si>
  <si>
    <t>Autodeclaración de vertimientos radicado SDA No.2020ER06611 del 14/01/2020, Informe de Caracterización radicado SDA No. 2019ER255358 del 31/10/2019, fecha monitoreo: 06/09/2019, Hora: 09:00 - 17:00. Laboratorio Hidrolab.</t>
  </si>
  <si>
    <t>Con radicado SDA No. 2019ER303589 del 27/12/2019 el usuario informa que presentó su autodeclaración de vertimientos con radicado SDA No. 2019ER264801 del 13/11/2019, fecha de monitoreo: 10/09/2019, hora: 07:00 - 15:00, Laboractorio MCS Consultoría y Monitoreo Ambiental S.A.S..</t>
  </si>
  <si>
    <t>CL 241 52 51
Dirección de notificación: Cl 118 No. 6-63. Oficina 201</t>
  </si>
  <si>
    <t xml:space="preserve">Autodeclaración de vertimientos radicado SDA No. 2020ER03208 del 9/01/2020. Fecha de monitoreo: 07/11/2019., Hora: 07:00-15:00. Laboratorio MCS Consultoría y Monitoreo Ambiental S.A.S. (caracterización del vertimiento). </t>
  </si>
  <si>
    <t>No presentó autodeclaración de vertimientos, se estima la carga contaminante con la información contenida en el radicado SDA No. 2019ER205550 del 5/09/2019, fecha de monitoreo: 8/03/2019. Hora: 07:00-15:00</t>
  </si>
  <si>
    <t xml:space="preserve"> AGRUPACIÓN EL GUAYACAN Y LOS JAZMINES PH</t>
  </si>
  <si>
    <t xml:space="preserve">No presentó autodeclaración de vertimientos. Se estimó la carga contaminante con los resultados del PMAE Fase XV, Radicado SDA No.2019ER145205 del 28/06/2019. Muestra 0703AN04. Fecha de monitoreo: 7/03/2019. Hora: 13:20 - 15:20. Muestra compuesta. 
</t>
  </si>
  <si>
    <t>Autodeclaración de vertimientos radicado SDA No. 2019ER305138 del 30/12/2019, fecha monitoreo: 17/10/2019, Hora: 8:30-16:30. Laboratorio Ambiental y Servicios Sanitarios (LASS) Ltda., radicado SDA No. 2019ER276108 del 27/11/2019 (caracterización del vertimiento). Aprobada.</t>
  </si>
  <si>
    <t>No presentó autodeclaración de vertimientos. Se estimó la carga contaminante con los resultados del PMAE Fase XV, Radicado SDA No. 2019ER213311 del 13/09/2019. Muestra No. 0706WI01. Fecha de monitoreo: 7/06/2019. Hora: 09:00-11:00</t>
  </si>
  <si>
    <t>Resultados del PMAE Fase XV, Radicado SDA No. 2019ER145333 del 28/06/2019. Muestra 1803HA04. Fecha de monitoreo: 18/03/2019. Hora: 13:30 - 15:30</t>
  </si>
  <si>
    <t>Informe de Caracterización radicado SDA No. 2019ER69893 del 28/03/2019, fecha de monitoreo: 31/01/2019, Hora: 8:00-16:00. Laboratorio Instituto de Higiene Ambiental S.A.S</t>
  </si>
  <si>
    <t>Resultados PMAE Fase XV, Radicado SDA No. 2019ER145333 del 28/06/2019. Muestra 1803WI01. Fecha de monitoreo: 18/03/2019. Hora: 9:30 - 11:30</t>
  </si>
  <si>
    <t xml:space="preserve">Autodeclaración de vertimientos radicado SDA No. 2020ER03603 del 9/01/2020, fecha de monitoreo: </t>
  </si>
  <si>
    <t>CL 215 45 45
Dirección de Correspondencia: AK 68 No.90-88. Edificio Sede Administrativa. Piso 3. Bloque 3. Área de Gestión Ambiental y BPM.</t>
  </si>
  <si>
    <t xml:space="preserve">Autodeclaración de vertimientos radicado SDA No. 2020ER08253 del 15/01/2020, incluida también en el radicado SDA No.2019ER190298 del 21/08/2019, fecha monitoreo: 12/06/2019, Hora: 07:30 - 15:30. Laboratorio MCS Consultoría y Monitoreo Ambiental S.A.S. </t>
  </si>
  <si>
    <t>Con radicado SDA No. 2019ER303577 del 27/12/2019 el usuario informa que presentó su Autodeclaración de vertimientos en radicado SDA No. 2019ER213181 del 13/12/2019, fecha monitoreo: 06/08/2019, hora: 8:45 - 16:45. Laboratorio MCS Consultoría y Monitoreo Ambiental S.A.S. (caracterización del vertimiento)</t>
  </si>
  <si>
    <t>Con radicado SDA No. 2019ER303597 del 27/12/2019 el usuario informa que presentó su autodeclaración de vertimientos con radicado SDA No. 2019ER213191 del 13/09/2019, fecha de monitoreo: 05/08/2019, hora: 8:30 - 16:30, Laboractorio MCS Consultoría y Monitoreo Ambiental S.A.S.</t>
  </si>
  <si>
    <t>Con radicado SDA No. 2019ER303625 del 27/12/2019 el usuario informa que envió su Autodeclaración de vertimientos en el radicado SDA No. 2019ER263799 del 12/11/2019, fecha monitoreo: 10/09/2019, Hora: 08:00 - 16:00. Laboratorio MCS Consultoría y Monitoreo Ambiental S.A.S. (caracterización del vertimiento)</t>
  </si>
  <si>
    <t xml:space="preserve">Autodeclaración de vertimientos radicado SDA No. 2020ER17431 del 28/01/2020, fecha monitoreo: 25/11/2019. Laboratorio Ambiental y Servicios Sanitarios (LASS) Ltda., (caracterización del vertimiento). </t>
  </si>
  <si>
    <t>Autodeclaración de vertimientos radicado SDA No. 2020ER32415 del 11/02/2020, no presenta soportes. Se estima la carga contaminante con la información presentada en el Radicado SDA No. 2019ER251514 del 25/10/2019. Fecha de Monitoreo 13/09/2019, que corresponde a su solicitud de renovación de permiso de vertimientos.</t>
  </si>
  <si>
    <t>No presentó autodeclaración de vertimientos a través del radicado SDA No. 2020ER03143 del 9/01/2020 solicitó prórroga. Se estima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(15 casas, CT  09891 del 5/09/2019, 2019IE206257)</t>
  </si>
  <si>
    <t>Autodeclaración de vertimientos radicado SDA No. 2020ER09032 del 16/01/2020, fecha monitoreo: 23/12/2019. Laboratorio Chemilab Ltda. (caracterización del vertimiento).</t>
  </si>
  <si>
    <t>Autodeclaración de vertimientos radicado SAD No. 2020ER09183 del 16/01/2020, no presenta soportes, no se evidencia remisión por parte del usuario de informe de caracterización en el año 2019 en el sistema forest, se estima la carga contaminante con los resultados del PMAE Fase XV, Radicado SDA No. 2019ER181438 del 9/08/2019. Muestra: 2504AN01. Fecha de monitoreo: 25/04/2019. Hora: 9:14 - 11:14</t>
  </si>
  <si>
    <t>No presentó autodeclaración de vertimientos; con radicado SDA No. 2020ER17924 del 28/01/2020 solicitó prórroga. Se estima la carga contaminante con los resultados del PMAE Fase XV, Radicado SDA No. 2019ER145333 del 28/06/2019. Muestra 1803WI05. Fecha de monitoreo: 18/03/2019. Hora: 14:00 - 16:00</t>
  </si>
  <si>
    <t>74°03'50,644"W</t>
  </si>
  <si>
    <t>04°45'40,452"N</t>
  </si>
  <si>
    <t>04°45'41,851"N</t>
  </si>
  <si>
    <t>74°03'52,396"W</t>
  </si>
  <si>
    <t>Autodeclaración de vertimientos radicado SDA No. 2020ER08551 del 16/01/2020, no presenta soportes. Se estima la carga contaminante con los resultados del PMAE Fase XV, Radicado SDA No. 2019ER181438 del 9/08/2019. Muestra 2604HA01. Fecha de monitoreo: 26/04/2019. Hora: 8:15 - 10:15. Punto ubicado sobre la Cl 173 al respaldo del predio.</t>
  </si>
  <si>
    <t>Autodeclaración de vertimientos radicado SDA No. 2020ER08551 del 16/01/2020, no presenta soportes. Se estima la carga contaminante con los resultados del PMAE Fase XV, Radicado SDA No. 2019ER181438 del 9/08/2019. Muestra 2604HA02. Fecha de monitoreo: 26/04/2019. Hora: 10:00 - 12:00. Punto ubicado sobre la Cl 173 al respaldo del predio.</t>
  </si>
  <si>
    <t>AK 72 170 51</t>
  </si>
  <si>
    <t xml:space="preserve">Autodeclaración de vertimientos radicado SDA No. 2020ER09343 del 17/01/2020, no presenta soportes. Se estima la carga con  el radicado SDA No. 2019ER20338 del 25/01/2019, fecha monitoreo: 13/11/2018. Laboratorio Analquim Ltda. (caracterización del vertimiento). </t>
  </si>
  <si>
    <t>AC 170 72 70
Dirección de correspondencia: AK 72 170 97</t>
  </si>
  <si>
    <t xml:space="preserve">Autodeclaración de vertimientos radicado SDA No. 2020ER09339 del 17/01/2020, fecha monitoreo: 6/11/2019. Laboratorio Analquim Ltda. (caracterización del vertimiento). </t>
  </si>
  <si>
    <t xml:space="preserve">Autodeclaración de vertimientos radicado SDA No. 2020ER09209 del 16/01/2020, fecha monitoreo: 1/11/2019. Laboratorio H2O Es Vida S.A.S (caracterización del vertimiento). </t>
  </si>
  <si>
    <t>Resultado PMAE Fase XV, Radicado SDA No. 2019ER181438 del 9/08/2019. Muestre 2404HA01. Fecha: de monitoreo: 24/04/2019. Hora: 8:00-10:00</t>
  </si>
  <si>
    <t xml:space="preserve">No presentó autodeclaración de vertimientos, se estima la carga con la información del radicado SDA No. 2019ER06076 del 10/01/2019, fecha monitoreo: 09/07/2018. Laboratorio Arturo Lizarazo &amp; CIA. Radicado SDA No. 2018ER301612 del 19/12/2018  (caracterización del vertimiento). </t>
  </si>
  <si>
    <t>Se estima la carga como la suma del resultado del PMAE Fase XV y la autodeclaración de vertimientos</t>
  </si>
  <si>
    <t>Resultado PMAE Fase XV, Radicado SDA No. 2019ER145205 del 28/06/2019. Muestra 0703AN01. Fecha de monitoreo: 7/03/2019. Hora: 10:30. Muestra puntual. 
El usurio se encontraba realizando mantenimiento a la PTAR y realizó vertimiento directo al vallado</t>
  </si>
  <si>
    <t>Autodeclaración de vertimientos radicado SDA No. 2020ER08257 del 15/01/2020, Informe de Caracterización radicado SDA No. 2019ER205536 del 5/09/2019, fecha de monitoreo: 8/03/2019, Laboratorio Quimicontrol Ltda. Ambiente e Industria.</t>
  </si>
  <si>
    <t>No presentó autodeclaración de vertimientos. Se estima la carga contaminante con los resultados del PMAE Fase XV, Radicado SDA No. 2019ER181438 del 9/08/2019. Muestra 2604AN03. Fecha de monitoreo 26/04/2019. Hora: 10:14 - 12:14</t>
  </si>
  <si>
    <t xml:space="preserve">CL 170 72 50
Dirección de correspondencia: CL 224 9 60
</t>
  </si>
  <si>
    <t xml:space="preserve">No presentó autodeclaración de vertimientos; con radicado SDA No. 2019ER299478 del 23/12/2019 solicitó prórroga. Se estima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t>
  </si>
  <si>
    <t>Autodeclaración de vertimientos 2020ER09728 del 17/01/2020, sede 1 Informe de caracterización radicado SDA No. 2019ER299141 del 23/12/2019, fecha de monitoreo: 21/10/2019. Laboratorio H2O es Vida S.A.S</t>
  </si>
  <si>
    <t>EVERGREEN SCHOOL S.A.
(Anterior LICEO CAMBRIDGE S.A)</t>
  </si>
  <si>
    <t>No presentó autodeclaración de vertimientos.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(Número de estudiantes y empleados: 149, CT 09065 de 2017, 2017IE268096)</t>
  </si>
  <si>
    <t>No presentó Autodeclaración de vertimientos. Se estima la carga contaminante con la información del radicado SDA No. 2019ER92385 del 29/04/2019, fecha de caracterización 6/02/2019. Laboratorio Analquim Ltda.</t>
  </si>
  <si>
    <t>ARD Pozo 1</t>
  </si>
  <si>
    <t>ARD Pozo 2</t>
  </si>
  <si>
    <t xml:space="preserve">Autodeclaración de vertimientos 2019ER294949 del 18/12/2019, fecha de monitoreo: 29/08/2019. Laboratorio H2O es vida S.A.S. (caracterización del vertimiento). </t>
  </si>
  <si>
    <t xml:space="preserve">CONJUNTO CERRADO SALAMANCA </t>
  </si>
  <si>
    <t>No presentó autodeclaración de vertimientos. Se estima la carga contaminante con la información del radicado SDA No. 2019ER269271 del 19/11/2019, fecha de caracterización 24/09/2019. Laboratorio Analquim Ltda.</t>
  </si>
  <si>
    <t>Autodeclaración de vertimientos 2020ER09550 del 17/01/2020, no presenta soportes, revisado el sistema forest se evidencia que los datos diligenciados corresponden a una caracterización del año 2018. Se estima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(4 casas, CT 15644 de 2019, 2019IE290561)</t>
  </si>
  <si>
    <t>No presentó autodeclaración de vertimientos. Se toma el dato del PMAE Fase XIV. Muestra No. 2310WI01, fecha de monitoreo: 23/10/2019, Hora: 9:30-10:30</t>
  </si>
  <si>
    <t>Autodeclaración de vertimientos incluida en el radicado SDA No. 2019ER213168 del 13/09/2019, fecha monitoreo: 6/08/2019. Laboratorio MCS Consultoría y Monitoreo Ambiental S.A.S.</t>
  </si>
  <si>
    <t xml:space="preserve">No presentó autodeclaración de vertimientos, se estima la carga contaminante con los resultados del PMAE Fase XV, Radicado SDA No. 2019ER181438 del 9/08/2019. Muestra 2604WI01. Fecha de monitoreo: 26/04/2019. Hora: 7:00 - 9:00. </t>
  </si>
  <si>
    <t xml:space="preserve">Autodeclaración de vertimientos radicado SDA No.2020ER08100 del 15/01/2020, fecha de monitoreo: 05/07/2019. Laboratorio H2O es vida S.A.S. Radicado SDA No.  2019ER206991 del 06/09/2019 (caracterización del vertimiento). CASA 1 Y 3 </t>
  </si>
  <si>
    <t xml:space="preserve">Autodeclaración de vertimientos radicado SDA No.2020ER08100 del 15/01/2020, fecha de monitoreo: 05/07/2019. Laboratorio H2O es vida S.A.S. Radicado SDA No.  2019ER206991 del 06/09/2019 (caracterización del vertimiento). CASA 2 Y 4 </t>
  </si>
  <si>
    <t xml:space="preserve">Autodeclaración de vertimientos radicado SDA No. 2020ER09861 del 17/01/202020, Solo envían formulario y hoja de resultados de caracterización del año anterior..Se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t>
  </si>
  <si>
    <t xml:space="preserve">No presentó autodeclaración de vertimientos.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t>
  </si>
  <si>
    <t>No presentó autodeclaración de vertimientos, se estima la carga contaminante con el Informe de Caracterización radicado SDA No. 2019ER223411 del 24/09/2019, fecha de monitoreo: 06/08/2019. Laboratorio Analquim Ltda.</t>
  </si>
  <si>
    <t>Autodeclaración de vertimientos radicado SDA No. 2020ER06725 del  14/01/2020, el informe de caracterización no presenta aforo de caudal.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t>
  </si>
  <si>
    <t>Autodeclaración de vertimientos radicado SDA No. 2019ER302499 del 26/12/2019, no se presentan soportes de la caracterización.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(No. de empleados=14, CT 12638 del 2015)</t>
  </si>
  <si>
    <t>Los propietarios presentaron autodeclaración de vertimientos, sin embargo no se adjunta soporte de caracterización, radicados SDA No. 2020ER08964 del 16/01/2020 (Casa 2), SDA No. 2020ER08972 del 16/01/2020 (Casa 2) SDA No. 2020ER08642 del 16/01/2020 (Casa 4) y SDA No. 2020ER08655 del 16/01/2020 (casa 3).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t>
  </si>
  <si>
    <t xml:space="preserve">Autodeclaración de vertimientos  2020ER09601 del 17/01/2020, fecha de caracterización: 03/10/2019. Laboratorio Analquim Ltda. (caracterización del vertimiento) 
</t>
  </si>
  <si>
    <t>No presentó autodeclaración. El usuario presentó informe de caracterización radicado SDA No. SDA No. 2019ER224655 del 25/09/2019, fecha de monitoreo: 27/08/2019. Laboratorio Analquim Ltda, sin embargo no se aforó caudal.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t>
  </si>
  <si>
    <t>Autodeclaración de vertimientos radicado SDA No. 2020ER51386 del 5/03/2020, fecha de caracterización: 1/04/2019. Laboratorio Analquim Ltda. No se aprueba porque no se presentó en la fecha indicada.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t>
  </si>
  <si>
    <t xml:space="preserve">Autodeclaración de vertimientos radicado SDA No. 2020ER02048 del 8/01/2020, no presenta soportes de la caracterización. Se estima la carga con la información del radicado 2018ER255020 del 31/10/2018, fecha de monitoreo: 27/07/2018. Laboratorio Instituto de Higiene Ambiental S.A.S.  (caracterización del vertimiento). </t>
  </si>
  <si>
    <t xml:space="preserve">Autodeclaración de vertimientos radicado SDA No. 2020ER09871 del 17/01/2020, fecha de monitoreo: 17/09/2019. Laboratorio H2O ES VIDA S.A.S. </t>
  </si>
  <si>
    <t>La carga contaminante se estimó como el promedio entre el PMAE Fase XV y la autodeclaración de vertimientos</t>
  </si>
  <si>
    <t>Resultado PMAE Fase XV, Radicado SDA No. 2019ER181438 del 9/08/2019. Muestra: 2404HA03. Fecha de muestreo: 24/04/2019. Hora: 15:00 - 17:00</t>
  </si>
  <si>
    <t>No presentó autodeclaración de vertimientos. Se estimó la carga contaminante con los resultados del PMAE Fase XV, Radicado SDA No. 2019ER181438 del 9/08/2019. Muestra: 2604WI02. Fecha de muestreo: 26/04/2019. Hora: 7:30 - 9:30</t>
  </si>
  <si>
    <t xml:space="preserve">No presentó autodeclaración. Se estima la carga contaminante con los resultados del PMAE Fase XV, muestra No. 0811SA01, fecha de monitoreo: 8/11/2019. </t>
  </si>
  <si>
    <t>04°31'22,6"N</t>
  </si>
  <si>
    <t>74°6'34,3"W</t>
  </si>
  <si>
    <t>04°31'26,3"N</t>
  </si>
  <si>
    <t>74°6'34,1"W</t>
  </si>
  <si>
    <t>Resultados PMAE Fase XV, Muestra 0310WI03. Fecha de monitoreo: 03/10/2019. Hora: 11:15 a.m. en el punto ARND -PV1 , Muestra 0310AN04. Fecha de monitoreo: 03/10/2019. Hora: 11:30 a.m en el punto ARND -PV3. 
Autodeclaración de vertimientos radicado SDA No. 2020ER09744 del 17/01/2020,  fecha de monitoreo: 29/11/2018 y 30/11/2018 (puntos PV1 y PV3). Laboratorio SGS Colombia S.A.S. Radicado SDA No. 2019ER25202 del 31/01/2019 (caracterización del vertimiento), los demás puntos reportó un caudal de 0. Para los puntos PV2 y PV4 se toma el dato del radicado SDA No. 2018ER21694 del 07/02/2018, informe de caracterización 2017ER18330 del 30/01/2017, fechas de monitoreo: 10/11/2016 y 11/11/2016. Laboratorio SGS Colombia S.A.S.  No Aprobada, no presenta soportes del tiempo de vertimiento por día.</t>
  </si>
  <si>
    <t>Resultados PMAE Fase XV, Muestra 0310WI02. Fecha de monitoreo: 03/10/2019. Hora: 10:45 a.m. en el punto ARND -PV1 , Muestra 0310AN03. Fecha de monitoreo: 03/10/2019. Hora: 10:30 a.m en el punto ARND -PV2.
Autodeclaración de vertimientos radicado SDA No.2020ER09742  del 17/01/2020, fecha de monitoreo: 27/11/2018 y 28/11/2018 (Puntos PV1, PV2, PV3 y PV5). Laboratorio SGS Colombia S.A.S. Radicado SDA No. 2019ER23997 del 30/01/2019 (caracterización del vertimiento), fecha de monitoreo 08/11/2016 y 09/11/2016 (Puntos PV4, PV6 y PV7)  Laboratorio SGS Colombia S.A.S. . No Aprobada, no presenta soportes del tiempo de vertimiento por día.</t>
  </si>
  <si>
    <t xml:space="preserve">Autodeclaración de vertimientos radicado SDA No. 2020ER09131 del 16/01/2020, fecha de monitoreo: 07/01/2015. Laboratorio Asinal Ltda. Radicado SDA No. 2015ER30054 del 23/02/2015 (caracterización del vertimiento). No Aprobada, no reporta un punto de vertimiento. </t>
  </si>
  <si>
    <t xml:space="preserve">PMAE Fase XV Muestra 0310WI04. Fecha de monitoreo: 03/10/2019. Hora: 12:30 a.m. muestra puntual. 
Autodeclaración de vertimientos radicado SDA No. 2020ER09126 del 16/01/2020, fecha de monitoreo: 27/02/2019. Laboratorio Asinal SAS. Radicado SDA No.  2019ER90377 del 26/04/2019 (caracterización del vertimiento envian solo del punto PV1,quedaron faltando los otros 2 puntos ). 
</t>
  </si>
  <si>
    <t>No presentó autodeclaración de vertimientos, se tomó la información de carga contaminante del Informe Técnico No. 01919 del 10/11/2016 (I.T. SDA No. 2016IE198658 del 10/11/2016)</t>
  </si>
  <si>
    <t>No presentó autodeclaración de vertimientos, se tomó la información de carga contaminante del Informe Técnico No. 01919 del 10/11/2016 ((I.T. SDA No. 2016IE198658 del 10/11/2016).</t>
  </si>
  <si>
    <t xml:space="preserve">Autodeclaración de vertimientos radicado SDA No. 2020ER03122 del 09/01/2020, el usuario informa que con radicado SDA No. 2019ER226266 del 29/09/2019 envió su formulario de autodeclaración de vertimientos, fecha monitoreo: 05/08/2019, Hora: 08:45 - 16:45. Laboratorio MCS Consultoría y Monitoreo Ambiental S.A.S. (Caracterización del vertimiento). </t>
  </si>
  <si>
    <t>Con radicado SDA No. 2019ER303601 del 27/12/2019 el usuario informa que presentó su Autodeclaración de vertimientos en radicado SDA No. 2019ER264635 del 13/11/2019, fecha monitoreo: 10/09/2019, hora: 7:00 - 15:00. Laboratorio MCS Consultoría y Monitoreo Ambiental S.A.S. (Caracterización del vertimiento)</t>
  </si>
  <si>
    <t xml:space="preserve">Autodeclaración de vertimientos radicado SDA No. 2020ER07197 del 14/01/2020, fecha monitoreo: 20/11/2019, Hora: 07:00-15:00. Laboratorio MCS Consultoría y Monitoreo Ambiental S.A.S., (Caracterización del vertimiento). </t>
  </si>
  <si>
    <t xml:space="preserve">Autodeclaración de vertimientos radicado SDA No. 2019ER298331 del 20/12/2019, fecha monitoreo: 21/06/2019, Hora: 08:00-16:00. Laboratorio de Análisis químicos y microbiológicos Biopolab Ltda. , (Caracterización del vertimiento). </t>
  </si>
  <si>
    <t>No presentó autodeclaración. Se toma el dato de radicado SDA No. 2018ER56922 del 20/03/2018 (remisión información permiso de vertimientos), fecha monitoreo: 22/01/2018. Laboratorio Analquim Ltda. (Caracterización del vertimiento).</t>
  </si>
  <si>
    <t>No presentó autodeclaración. Se toma el dato del radicado SDA No. 2019ER04656  del 09/01/2019, fecha de monitoreo: 19/11/2018. (Caracterización del vertimiento).</t>
  </si>
  <si>
    <t xml:space="preserve">Autodeclaración de vertimientos radicado SDA No.2020ER09336 del 17/01/2020, fecha monitoreo: 6/11/2019. Laboratorio Analquim Ltda. (Caracterización del vertimiento). </t>
  </si>
  <si>
    <t xml:space="preserve">Autodeclaración de vertimientos radicado SDA No. 2020ER02046 del 8/01/2020, fecha monitoreo: 18/02/20019. Laboratorio Instituto de Higiene Ambiental S.A.S. Radicado SDA No. 2019ER92037 del 29/04/2019 (Caracterización del vertimiento). </t>
  </si>
  <si>
    <t>Con radicado SDA No.2020ER03081 del 9/01/2020 el usuario informa que presentó su autodeclaración de vertimientos con radicado SDA No. 2019ER190296 del 21/08/2019, fecha de monitoreo: 12/06/2019, hora: 07:30 - 15:30, Laboratorio MCS Consultoría y Monitoreo Ambiental S.A.S. No se anexa custodia del aforo del caudal para determinar el caudal promedio, el informe tampoco lo presenta. Se estimó la carga de acuerdo con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(25 casas - CT No. 14234 del 27/11/2019 - 2019IE275552)</t>
  </si>
  <si>
    <t>No presentó autodeclaración de vertimientos. Se estima la carga contaminante como el promedio entre los resultados del PMAE Fase XV y el Informe de Caracterización radicado SDA No. 2019ER69893 del 28/03/2019</t>
  </si>
  <si>
    <t>Autodeclaración de vertimientos radicado SDA No. 2020ER06615 del 14/01/2020, fecha monitoreo: 05/12/2019. Laboratorio CIAN Ltda. Consultoría y Servicios Ambientales, Informe de Caracterización radicado SDA No. 2020ER06606 del 14/01/2020.</t>
  </si>
  <si>
    <t>No presentó autodeclaración de vertimientos. Se estima la carga de acuerdo con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(De acuerdo con el SINUPOT el conjunto cuenta con 14 casas)</t>
  </si>
  <si>
    <t>Autodeclaración de vertimientos 2020ER09728 del 17/01/2020, no se incluye el vertimiento de la sede 2; Informe de caracterización radicado SDA No. 2019ER299138 del 23/12/2019, fecha de monitoreo: 21/10/2019. Laboratorio H2O es Vida S.A.S</t>
  </si>
  <si>
    <t xml:space="preserve">No presentó autodeclaración de vertimientos. Se estima la carga de acuerdo con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t>
  </si>
  <si>
    <t xml:space="preserve">Autodeclaración de vertimientos radicado SDA No.2020ER08098 del 15/01/2020,  no presenta soportes de la caracteriazción .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t>
  </si>
  <si>
    <t xml:space="preserve">Autodeclaración de vertimientos 2020ER08101 del 15/01/2020. Casas 1 y 2, fecha de caracterización: 23/08/2019. Laboratorio H2O Es Vida S.A.S. Radicado SDA No. 2019ER271127 del 21/11/2019 (caracterización del vertimiento) </t>
  </si>
  <si>
    <t xml:space="preserve">Autodeclaración de vertimientos 2020ER08101 del 15/01/2020. Casas 3 y 4, fecha de caracterización: 23/08/2019. Laboratorio H2O Es Vida S.A.S. Radicado SDA No. 2019ER271127 del 21/11/2019 (caracterización del vertimiento) </t>
  </si>
  <si>
    <t>Autodeclaración de vertimientos radicado SDA No. 2020ER07358 del 14/01/2020, el usuario no reporta valores sustentando que no ha salido el permiso de vertimientos tramitado con la SDA. No aprobada.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 (De acuerdo al SINUPOT la agrupación cuenta con 13 casas)</t>
  </si>
  <si>
    <t xml:space="preserve">Autodeclaración de vertimientos Radicado SDA No. 2020ER03419 del 9/01/2020, Informe de caracterización con radicado SDA No. 2019ER133430  del 17/06/2019, fecha de caracterización: 26/04/2019. Laboratorio ChemiLab S.A.S. </t>
  </si>
  <si>
    <t xml:space="preserve">Autodeclaración de vertimientos radicado SDA No. 2020ER07371 del 14/01/2020, Información del radicado SDA No. 2019ER104193 del 14/05/2019. Fecha de monitoreo: 05/04/2019. Laboratorio Analquim Ltda. (caracterización del vertimiento).  </t>
  </si>
  <si>
    <t>Autodeclaración de vertimientos radicado SDA No. 2020ER06287 del 14/01/2020, el usuario no diligenció los datos de concentraciones y caudal. Se estimó la carga de acuerdo a la Tabla 24. Aportes per cápita para aguas residuales domésticas., del Parágrafo 2° Artículo 169 Resolución No. 0330 del 08/06/2017 "Por el cual se adopta el Reglamento Técnico para el Sector de Agua Potable y Saneamiento Básico - RAS y se derogan las resoluciones 1096 de 2000, 0424 de 2001, 0668 de 2003, 1459 de 2005, 1447 de 2005 y 2320 de 2009".</t>
  </si>
  <si>
    <t>Autodeclaración de vertimientos radicado SDA No. 2020ER10017 del 17/01/2020. Informe de caracterización radicado SDA No. 2020ER06591 del 14/01/2020, fecha de caracterización 5/12/2019, Laboratorio CIAN Ltda. Consultoría y Servicios Ambientales.</t>
  </si>
  <si>
    <t>Con radicado SDA No. 2020ER03151 del 17/01/2020 informó que su Autodeclaración de vertimientos está incluida en el radicado SDA No. 2019ER263787 del 12/11/2019, fecha de caracterización: 16/09/2019, Hora: 08:30 - 16:30, Laboratorio Instituto de Higiene Ambiental S.A.S.  (Caracterización del vertimiento)</t>
  </si>
  <si>
    <t>Con radicado SDA No. 2020ER03136 del 9/01/2020 el usuario informa que su Autodeclaración de vertimientos está incluida en el radicado SDA No. 2019ER221933 del 23/09/2019, fecha de caracterización: 07/08/2019, Hora: 07:20 - 15:20, Laboratorio Instituto de Higiene Ambiental S.A.S.  (Caracterización del vertimiento)</t>
  </si>
  <si>
    <t>La carga contaminante se estimó como el promedio entre el PMAE Fase XV y su autodeclaración de vertimientos</t>
  </si>
  <si>
    <t>Autodeclaración de vertimientos radicado SDA No. 2019ER301807 del 26/12/2019, el usuario refiere el radicado SDA No. 2019ER176985 del 2/08/2019, sin embargo este radicado no corresponde al informe de caracterización, así las cosas no se presentan soportes. Se estima la carga con el resultado del PMAE Fase XV, Radicado No. 2019ER195566 del 27/08/2019. Muestra No. 1705AZ01. Fecha de monitoreo: 17/05/2019. Hora: 8:30 - 10:30.</t>
  </si>
  <si>
    <t>428
(2016EE68492 del 29/04/2016)</t>
  </si>
  <si>
    <t>SDA-05-2002-202</t>
  </si>
  <si>
    <t>4°49'11.048”N</t>
  </si>
  <si>
    <t>74°2'55.04799”W</t>
  </si>
  <si>
    <t>4°49'19.0229”N</t>
  </si>
  <si>
    <t>74°2'19.835”W</t>
  </si>
  <si>
    <t>Autodeclaración de vertimientos Radicado SDA No. 2020ER09889 del 17/01/2019, no presenta soportes de los valores diligenciados en el formulario, no se evidencia en el sistema forest de la entidad la remisión de informe de caracterización en el año 2019. Se estima la carga con los resultados del PMAE Fase XV, Radicado SDA No. 2019ER145333 del 28/06/2019. Muestra 1803HA03. Fecha de monitoreo: 18/03/2019. Hora: 11:00 - 13:00</t>
  </si>
  <si>
    <t>SDA-05-2002-804</t>
  </si>
  <si>
    <t>4°47'6.361”N</t>
  </si>
  <si>
    <t>74°2'29.481”W</t>
  </si>
  <si>
    <t>4°47'24.885”N</t>
  </si>
  <si>
    <t>74°2'27.760”W</t>
  </si>
  <si>
    <t xml:space="preserve">SDA-05 -2003–2078 </t>
  </si>
  <si>
    <t>SDA-05-1999-70</t>
  </si>
  <si>
    <t>4°47'00.86191”N</t>
  </si>
  <si>
    <t>74°03'10.69516”W</t>
  </si>
  <si>
    <t>4°46'2.752”N</t>
  </si>
  <si>
    <t>74°3'56.874”W</t>
  </si>
  <si>
    <t>SDA-05-2004-324</t>
  </si>
  <si>
    <t>4°45'57.673”N</t>
  </si>
  <si>
    <t>74°3'56.485”W</t>
  </si>
  <si>
    <t>SDA-05-2006-932</t>
  </si>
  <si>
    <t>SDA-05-2008-2943
SDA-05-2007-2407</t>
  </si>
  <si>
    <t>SDA-05-2011-1531</t>
  </si>
  <si>
    <t>4°45'48.0051”N</t>
  </si>
  <si>
    <t>74°4'7.518”W</t>
  </si>
  <si>
    <t>4°47'58.873”N</t>
  </si>
  <si>
    <t>74°2'43.433”W</t>
  </si>
  <si>
    <t>A través del radicado SDA No. 2020ER09062 del 16/01/2020, el usuario informa que no realiza vertimiento al vallado, sus aguas residuales son tratadas en 11 pozos sépticos. Sin embargo se monitoreó en el marco del del PMAE Fase XV, Radicado 2020ER26338 del 5/02/2020. Muestra: 2904AN01. Fecha de monitoreo: 29/04/2019. Hora: 06:25 - 08:25.</t>
  </si>
  <si>
    <t>4°45'54.060”N</t>
  </si>
  <si>
    <t>74°4'3.3326”W</t>
  </si>
  <si>
    <t>Autodeclaración de vertimientos radicado SDA No.2020ER00856 del 03/01/2020, caracterización de periodo diferente al año 2019. Se estima la carga contaminante con los resultados del PMAE Fase XV, Radicado SDA No. 2020ER26338 del 5/02/2020. Muestra: 2904AN03. Fecha de monitoreo: 29/04/2019. Hora: 10:20 - 12:20 (Sólo se pudo tomar una alicuota, durante el resto de las dos horas no se presentó vertimiento)</t>
  </si>
  <si>
    <t>No presentó autodeclaración de vertimientos, se estima la carga contaminante con los resultados del PMAE Fase XV, Radicado SDA No. 2020ER26338 del 5/02/2020. Muestra 2904AN02. Fecha de monitoreo: 29/04/2019. Hora: 07:50 - 09:50</t>
  </si>
  <si>
    <t>No presentó autodeclaración de vertimientos. Se estima la carga con los resultados del PMAE Fase XV, Radicado SDA No. 2020ER26338 del 5/02/2020. Muestre 2904AN04. Fecha de monitoreo: 29/04/2019. Hora: 11:00 - 13:00</t>
  </si>
  <si>
    <t>4°45'47.98”N</t>
  </si>
  <si>
    <t>74°4'0.54”W</t>
  </si>
  <si>
    <t>No presentó autodeclaración de vertimientos. Se estima la carga contaminante con los resultados del PMAE Fase XV, Radicado SDA No. 2020ER26338 del 5/02/2020. Muestra: 2904AN04. Fecha de monitoreo: 29/04/2019. Hora: 13:10 - 15:10. (Solo se tomó una alicuota, no se presentó más vertimiento)</t>
  </si>
  <si>
    <t>Resultado PMAE Fase XV, Radicado SDA No. 2020ER26338 del 5/02/2020. Muestra No. 0205AN03. Fecha de monitoreo: 2/05/2019. Hora: 9:10 - 11:10</t>
  </si>
  <si>
    <t>SDA-05-2011-1766</t>
  </si>
  <si>
    <t>Resultado PMAE Fase XV, Radicado SDA No. 2020ER26338 del 5/02/2020. Muestra No. 0205AN04. Fecha de monitoreo: 2/05/2019. Hora: 12:05 - 14:05</t>
  </si>
  <si>
    <t>No presentó autodeclaración de vertimientos. Se estima la carga contaminante con los resultados del PMAE Fase XV, Radicado SDA No.  2020ER26338 del 5/02/2020. Muestra No. 0305WI01. Fecha de monitoreo: 03/05/2019. Hora: 07:00-09:00</t>
  </si>
  <si>
    <t xml:space="preserve">SDA-05-2007-1456 </t>
  </si>
  <si>
    <t>No presentó autodeclaración de vertimientos. Se estima la carga contaminante con los resultados del PMAE Fase XV, Radicado SDA 2020ER26338 del 5/02/2020. Muestra No. 0305WI02. Fecha de monitoreo: 03/05/2019. Hora: 06:30-09:30</t>
  </si>
  <si>
    <t xml:space="preserve">No presentó autodeclaración de vertimientos. Se estima la carga contaminante con los resultados del PMAE Fase XV, Radicado SDA No.  2020ER26338 del 5/02/2020. Muestra: 0305WI03. Fecha de monitoreo: 03/05/2019. Hora: 08:00 - 10:00. </t>
  </si>
  <si>
    <t>Resultado PMAE Fase XV. Radicado SDA No. 2020ER26338 del 5/02/2020. Muestra 0305AN01. Fecha de monitoreo: 3/05/2019. Hora: 09:15 - 11:15</t>
  </si>
  <si>
    <t>Resultado PMAE Fase XV. Radicado 2020ER26338 del 5/02/2020. Muestra 0305AN02. Fecha de monitoreo: 3/05/2019. Hora: 09:35 - 11:35</t>
  </si>
  <si>
    <t>Resultado PMAE Fase XV. Radicado 2020ER26338 del 5/02/2020. Muestra 0305AN03. Fecha de monitoreo: 3/05/2019. Hora: 10:25 - 12:25</t>
  </si>
  <si>
    <t>4°49’16.027”N</t>
  </si>
  <si>
    <t>74°2’15.681”W</t>
  </si>
  <si>
    <t>SDA-05-2005-1885</t>
  </si>
  <si>
    <t>SDA-05-2015-6915</t>
  </si>
  <si>
    <t xml:space="preserve">SDA-05-2005-984
</t>
  </si>
  <si>
    <t>SDA-05-2017-1007</t>
  </si>
  <si>
    <t>SDA-05-2004-1774</t>
  </si>
  <si>
    <t>SDA-05-2007-1920</t>
  </si>
  <si>
    <t>SDA-05-2017-43</t>
  </si>
  <si>
    <t>SDA-05-2017-1066</t>
  </si>
  <si>
    <t>SDA–05–2001-591</t>
  </si>
  <si>
    <t>SDA-05-2006-2199</t>
  </si>
  <si>
    <t>SDA-05-2010-413</t>
  </si>
  <si>
    <t>SDA-05-2011-2149</t>
  </si>
  <si>
    <t>SDA-05-2011-1533</t>
  </si>
  <si>
    <t>SDA-05-2011-2449</t>
  </si>
  <si>
    <t>SDA-05-2012-1464</t>
  </si>
  <si>
    <t>SDA-05-2003-213</t>
  </si>
  <si>
    <t>SDA-05-2006-2591</t>
  </si>
  <si>
    <t>SDA-05-2006-370</t>
  </si>
  <si>
    <t>SDA-05-2005-451</t>
  </si>
  <si>
    <t>SDA 05-2003-1814</t>
  </si>
  <si>
    <t>SDA-05-2009-986</t>
  </si>
  <si>
    <t>SDA-05-2006-2492</t>
  </si>
  <si>
    <t>SDA-05-2011-2562</t>
  </si>
  <si>
    <t>SDA-08-2006-1190
SDA-06-2000-457</t>
  </si>
  <si>
    <t>SDA-05-2007-665</t>
  </si>
  <si>
    <t>SDA-05-2010-38</t>
  </si>
  <si>
    <t>Autodeclaración de vertimientos 2020ER22294 del 31/01/2020, Informe de caracterización, radicado 2020ER22290 del 31/01/2020, fecha de caracterización: 28/12/2019, Hora: 09:00 - 17:00. CIAN Consultoría y Servicios Ambientales Ltda.</t>
  </si>
  <si>
    <t>Autodeclaración de vertimientos 2019ER304731 del 30/12/2020, no presenta soportes. No se aprueba. Se estima la carga contaminante con los resultados del PMAE Fase XV, Radicado SDA No. 2019ER213311 del 13/09/2019. Muestra No. 0706AZ01. Fecha de monitoreo: 7/06/2019. Hora: 09:00-11:00</t>
  </si>
  <si>
    <t xml:space="preserve">Autodeclaración de vertimientos 2019ER295845 del 19/12/2019. Informe de Caracterización radicado SDA No. 2019ER255309 del 31/10/2019, fecha de caracterización: 11/09/2019, Hora: 07:00 - 15:00, Laboratorio Instituto de Higiene Ambiental S.A.S. </t>
  </si>
  <si>
    <t>Usuario</t>
  </si>
  <si>
    <t>Se estima la carga contaminante como el promedio entre el resultado del PMAE Fase XV y su autodeclaración de vertimientos.</t>
  </si>
  <si>
    <t>CLUB BELLAVISTA
CAJA DE COLOMBIANA DE SUBSIDIO FAMILIAR - COLSUBSIDIO</t>
  </si>
  <si>
    <t>Autopista Norte 246 A 45
Dirección de correspondencia: CL 26 25 50</t>
  </si>
  <si>
    <t>No presentó autodeclaración de vertimientos se estima la carga con los resultados del PMAE Fase XV, Radicado SDA No. 2019ER181438 del 9/08/2019. Muestra No. 2404WI02. Fecha 24/04/2019. Hora: 9:30 - 11:30. De acuerdo con las coordenadas correspondería a este punto.</t>
  </si>
  <si>
    <t>Autodeclaración de vertimientos radicado SDA No. 2020ER57209 del 13/03/2020 remitido por la UAESP</t>
  </si>
  <si>
    <t>Autodeclaración de vertimientos radicado SDA No.  2020ER05640 del 13/01/2020. No presenta soporte del parámetro SST. Se toma el dato del radicado SDA No. 2018ER29881 del 16/02/2018, documentos complementarios a la solicitud de permiso de vertimientos.</t>
  </si>
  <si>
    <t>3605
(2019EE291683)</t>
  </si>
  <si>
    <t>2404
(2017EE184257)</t>
  </si>
  <si>
    <t>1065
(2018EE83766)</t>
  </si>
  <si>
    <t>932
(2017EE87313)</t>
  </si>
  <si>
    <t>1057
(2018EE83088)</t>
  </si>
  <si>
    <t>2018EE273072 </t>
  </si>
  <si>
    <t>2555
(2017EE187815)</t>
  </si>
  <si>
    <t>934
(2019EE103496)</t>
  </si>
  <si>
    <t>3351
(2017EE237795)</t>
  </si>
  <si>
    <t>2573
(2017EE188374)</t>
  </si>
  <si>
    <t>SÍ</t>
  </si>
  <si>
    <t>SDA-05-2005-1736</t>
  </si>
  <si>
    <t>SDA-05-2012-927</t>
  </si>
  <si>
    <t>3581
 (2019EE287885)</t>
  </si>
  <si>
    <t>2126 
(2017EE168070)</t>
  </si>
  <si>
    <t>3607 
(2019EE291694)</t>
  </si>
  <si>
    <t>3343
(2017EE237745)</t>
  </si>
  <si>
    <t>KR 18 B 91 B Sur 
Diagonal 62 Sur # 20F - 20 Barrio San Francisco. Dirección Alcaldía Local Ciudad Bolívar</t>
  </si>
  <si>
    <t>04°31'23,366''N</t>
  </si>
  <si>
    <t>74°07'41,274''W</t>
  </si>
  <si>
    <t>04º30’31,18” N</t>
  </si>
  <si>
    <t>74º08’37,21”W</t>
  </si>
  <si>
    <t>Autodeclaración de vertimientos 2020ER10121, Informe de caracterización 2019ER259435</t>
  </si>
  <si>
    <t>TORCA</t>
  </si>
  <si>
    <t>TUNJUELO</t>
  </si>
  <si>
    <t>TUNJUELO 2</t>
  </si>
  <si>
    <t>TUNJUELO 3</t>
  </si>
  <si>
    <t>TORCA 2</t>
  </si>
  <si>
    <t>16/12/2019</t>
  </si>
  <si>
    <t>1073
(2018EE84813)</t>
  </si>
  <si>
    <t>19/04/2018</t>
  </si>
  <si>
    <t>26/04/2018</t>
  </si>
  <si>
    <t>15/05/2018</t>
  </si>
  <si>
    <t>01062
(2018EE83660)</t>
  </si>
  <si>
    <t>23/08/2018</t>
  </si>
  <si>
    <t>3694
(2017EE263815)</t>
  </si>
  <si>
    <t>26/12/2017</t>
  </si>
  <si>
    <t>22/02/2018</t>
  </si>
  <si>
    <t>09/03/2018</t>
  </si>
  <si>
    <t>3679
(2017EE263490)</t>
  </si>
  <si>
    <t>20/09/2017</t>
  </si>
  <si>
    <t>03/01/2018</t>
  </si>
  <si>
    <t>19/01/2018</t>
  </si>
  <si>
    <t>13/05/2019</t>
  </si>
  <si>
    <t>15/08/2019</t>
  </si>
  <si>
    <t>02/09/2019</t>
  </si>
  <si>
    <t>01/09/2024</t>
  </si>
  <si>
    <t>1760
(2017EE148361)</t>
  </si>
  <si>
    <t>925
(2014EE050532)</t>
  </si>
  <si>
    <t>02441
(2017EE185899 del 22/09/2017)</t>
  </si>
  <si>
    <t>832
(2017EE75323)</t>
  </si>
  <si>
    <t>22/06/20222</t>
  </si>
  <si>
    <t>1759
(2017EE148359)</t>
  </si>
  <si>
    <t>549
(2018EE43811)</t>
  </si>
  <si>
    <t>02439
(2018EE181559)</t>
  </si>
  <si>
    <t>3663 
(2019EE293356)</t>
  </si>
  <si>
    <t>270
(2017EE26186)</t>
  </si>
  <si>
    <t>327
( 2016EE57549)</t>
  </si>
</sst>
</file>

<file path=xl/styles.xml><?xml version="1.0" encoding="utf-8"?>
<styleSheet xmlns="http://schemas.openxmlformats.org/spreadsheetml/2006/main">
  <numFmts count="54">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quot;$&quot;\ #,##0_);\(&quot;$&quot;\ #,##0\)"/>
    <numFmt numFmtId="171" formatCode="&quot;$&quot;\ #,##0_);[Red]\(&quot;$&quot;\ #,##0\)"/>
    <numFmt numFmtId="172" formatCode="&quot;$&quot;\ #,##0.00_);\(&quot;$&quot;\ #,##0.00\)"/>
    <numFmt numFmtId="173" formatCode="&quot;$&quot;\ #,##0.00_);[Red]\(&quot;$&quot;\ #,##0.00\)"/>
    <numFmt numFmtId="174" formatCode="_(&quot;$&quot;\ * #,##0_);_(&quot;$&quot;\ * \(#,##0\);_(&quot;$&quot;\ * &quot;-&quot;_);_(@_)"/>
    <numFmt numFmtId="175" formatCode="_(* #,##0_);_(* \(#,##0\);_(* &quot;-&quot;_);_(@_)"/>
    <numFmt numFmtId="176" formatCode="_(&quot;$&quot;\ * #,##0.00_);_(&quot;$&quot;\ * \(#,##0.00\);_(&quot;$&quot;\ * &quot;-&quot;??_);_(@_)"/>
    <numFmt numFmtId="177" formatCode="_(* #,##0.00_);_(* \(#,##0.00\);_(* &quot;-&quot;??_);_(@_)"/>
    <numFmt numFmtId="178" formatCode="#,##0\ &quot;€&quot;;\-#,##0\ &quot;€&quot;"/>
    <numFmt numFmtId="179" formatCode="#,##0\ &quot;€&quot;;[Red]\-#,##0\ &quot;€&quot;"/>
    <numFmt numFmtId="180" formatCode="#,##0.00\ &quot;€&quot;;\-#,##0.00\ &quot;€&quot;"/>
    <numFmt numFmtId="181" formatCode="#,##0.00\ &quot;€&quot;;[Red]\-#,##0.00\ &quot;€&quot;"/>
    <numFmt numFmtId="182" formatCode="_-* #,##0\ &quot;€&quot;_-;\-* #,##0\ &quot;€&quot;_-;_-* &quot;-&quot;\ &quot;€&quot;_-;_-@_-"/>
    <numFmt numFmtId="183" formatCode="_-* #,##0\ _€_-;\-* #,##0\ _€_-;_-* &quot;-&quot;\ _€_-;_-@_-"/>
    <numFmt numFmtId="184" formatCode="_-* #,##0.00\ &quot;€&quot;_-;\-* #,##0.00\ &quot;€&quot;_-;_-* &quot;-&quot;??\ &quot;€&quot;_-;_-@_-"/>
    <numFmt numFmtId="185" formatCode="_-* #,##0.00\ _€_-;\-* #,##0.00\ _€_-;_-* &quot;-&quot;??\ _€_-;_-@_-"/>
    <numFmt numFmtId="186" formatCode="0.000"/>
    <numFmt numFmtId="187" formatCode="#,##0.000"/>
    <numFmt numFmtId="188" formatCode="0.0000"/>
    <numFmt numFmtId="189" formatCode="&quot;Sí&quot;;&quot;Sí&quot;;&quot;No&quot;"/>
    <numFmt numFmtId="190" formatCode="&quot;Verdadero&quot;;&quot;Verdadero&quot;;&quot;Falso&quot;"/>
    <numFmt numFmtId="191" formatCode="&quot;Activado&quot;;&quot;Activado&quot;;&quot;Desactivado&quot;"/>
    <numFmt numFmtId="192" formatCode="[$€-2]\ #,##0.00_);[Red]\([$€-2]\ #,##0.00\)"/>
    <numFmt numFmtId="193" formatCode="&quot;$&quot;\ #,##0"/>
    <numFmt numFmtId="194" formatCode="[$-240A]dddd\,\ dd&quot; de &quot;mmmm&quot; de &quot;yyyy"/>
    <numFmt numFmtId="195" formatCode="[$-240A]h:mm:ss\ AM/PM"/>
    <numFmt numFmtId="196" formatCode="#,##0.0"/>
    <numFmt numFmtId="197" formatCode="hh:mm:ss;@"/>
    <numFmt numFmtId="198" formatCode="#,##0.0000"/>
    <numFmt numFmtId="199" formatCode="mmm\-yyyy"/>
    <numFmt numFmtId="200" formatCode="[$-240A]hh:mm:ss\ AM/PM"/>
    <numFmt numFmtId="201" formatCode="0.00000000"/>
    <numFmt numFmtId="202" formatCode="0.0000000"/>
    <numFmt numFmtId="203" formatCode="0.000000"/>
    <numFmt numFmtId="204" formatCode="0.00000"/>
    <numFmt numFmtId="205" formatCode="0.0"/>
    <numFmt numFmtId="206" formatCode="&quot;$&quot;#,##0"/>
    <numFmt numFmtId="207" formatCode="0.0000000000"/>
    <numFmt numFmtId="208" formatCode="0.000000000"/>
    <numFmt numFmtId="209" formatCode="dd/mm/yyyy;@"/>
  </numFmts>
  <fonts count="51">
    <font>
      <sz val="11"/>
      <color theme="1"/>
      <name val="Calibri"/>
      <family val="2"/>
    </font>
    <font>
      <sz val="11"/>
      <color indexed="8"/>
      <name val="Calibri"/>
      <family val="2"/>
    </font>
    <font>
      <sz val="10"/>
      <name val="Arial"/>
      <family val="2"/>
    </font>
    <font>
      <b/>
      <sz val="8"/>
      <color indexed="8"/>
      <name val="Arial Narrow"/>
      <family val="2"/>
    </font>
    <font>
      <sz val="8"/>
      <name val="Arial Narrow"/>
      <family val="2"/>
    </font>
    <font>
      <b/>
      <sz val="8"/>
      <name val="Arial Narrow"/>
      <family val="2"/>
    </font>
    <font>
      <b/>
      <vertAlign val="subscript"/>
      <sz val="8"/>
      <color indexed="8"/>
      <name val="Arial Narrow"/>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11"/>
      <color indexed="12"/>
      <name val="Calibri"/>
      <family val="2"/>
    </font>
    <font>
      <u val="single"/>
      <sz val="11"/>
      <color indexed="20"/>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8"/>
      <color indexed="8"/>
      <name val="Arial Narrow"/>
      <family val="2"/>
    </font>
    <font>
      <b/>
      <sz val="8"/>
      <color indexed="10"/>
      <name val="Arial Narrow"/>
      <family val="2"/>
    </font>
    <font>
      <sz val="8"/>
      <color indexed="10"/>
      <name val="Arial Narrow"/>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8"/>
      <color theme="1"/>
      <name val="Arial Narrow"/>
      <family val="2"/>
    </font>
    <font>
      <sz val="8"/>
      <color theme="1"/>
      <name val="Arial Narrow"/>
      <family val="2"/>
    </font>
    <font>
      <sz val="8"/>
      <color rgb="FF000000"/>
      <name val="Arial Narrow"/>
      <family val="2"/>
    </font>
    <font>
      <b/>
      <sz val="8"/>
      <color rgb="FFFF0000"/>
      <name val="Arial Narrow"/>
      <family val="2"/>
    </font>
    <font>
      <sz val="8"/>
      <color rgb="FFFF0000"/>
      <name val="Arial Narrow"/>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rgb="FFC00000"/>
        <bgColor indexed="64"/>
      </patternFill>
    </fill>
    <fill>
      <patternFill patternType="solid">
        <fgColor theme="0"/>
        <bgColor indexed="64"/>
      </patternFill>
    </fill>
    <fill>
      <patternFill patternType="solid">
        <fgColor theme="0" tint="-0.04997999966144562"/>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color rgb="FF000000"/>
      </left>
      <right style="thin">
        <color rgb="FF000000"/>
      </right>
      <top style="thin">
        <color rgb="FF000000"/>
      </top>
      <bottom style="thin">
        <color rgb="FF000000"/>
      </bottom>
    </border>
    <border>
      <left style="thin">
        <color rgb="FF000000"/>
      </left>
      <right style="thin">
        <color rgb="FF000000"/>
      </right>
      <top style="thin">
        <color rgb="FF000000"/>
      </top>
      <bottom>
        <color indexed="63"/>
      </bottom>
    </border>
    <border>
      <left style="thin"/>
      <right style="thin"/>
      <top/>
      <bottom style="thin"/>
    </border>
    <border>
      <left style="thin"/>
      <right style="thin"/>
      <top>
        <color indexed="63"/>
      </top>
      <bottom>
        <color indexed="63"/>
      </bottom>
    </border>
    <border>
      <left>
        <color indexed="63"/>
      </left>
      <right style="thin"/>
      <top>
        <color indexed="63"/>
      </top>
      <bottom>
        <color indexed="63"/>
      </bottom>
    </border>
    <border>
      <left style="thin">
        <color rgb="FF000000"/>
      </left>
      <right style="thin"/>
      <top style="thin"/>
      <bottom>
        <color indexed="63"/>
      </bottom>
    </border>
    <border>
      <left style="thin">
        <color rgb="FF000000"/>
      </left>
      <right style="thin"/>
      <top>
        <color indexed="63"/>
      </top>
      <bottom>
        <color indexed="63"/>
      </bottom>
    </border>
    <border>
      <left style="thin">
        <color rgb="FF000000"/>
      </left>
      <right style="thin"/>
      <top>
        <color indexed="63"/>
      </top>
      <bottom style="thin"/>
    </border>
  </borders>
  <cellStyleXfs count="67">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8" fillId="14" borderId="0" applyNumberFormat="0" applyBorder="0" applyAlignment="0" applyProtection="0"/>
    <xf numFmtId="0" fontId="28" fillId="15" borderId="0" applyNumberFormat="0" applyBorder="0" applyAlignment="0" applyProtection="0"/>
    <xf numFmtId="0" fontId="28" fillId="16" borderId="0" applyNumberFormat="0" applyBorder="0" applyAlignment="0" applyProtection="0"/>
    <xf numFmtId="0" fontId="28" fillId="17" borderId="0" applyNumberFormat="0" applyBorder="0" applyAlignment="0" applyProtection="0"/>
    <xf numFmtId="0" fontId="28" fillId="18" borderId="0" applyNumberFormat="0" applyBorder="0" applyAlignment="0" applyProtection="0"/>
    <xf numFmtId="0" fontId="28" fillId="19" borderId="0" applyNumberFormat="0" applyBorder="0" applyAlignment="0" applyProtection="0"/>
    <xf numFmtId="0" fontId="29" fillId="20" borderId="0" applyNumberFormat="0" applyBorder="0" applyAlignment="0" applyProtection="0"/>
    <xf numFmtId="0" fontId="30" fillId="21" borderId="1" applyNumberFormat="0" applyAlignment="0" applyProtection="0"/>
    <xf numFmtId="0" fontId="31" fillId="22" borderId="2" applyNumberFormat="0" applyAlignment="0" applyProtection="0"/>
    <xf numFmtId="0" fontId="32" fillId="0" borderId="3" applyNumberFormat="0" applyFill="0" applyAlignment="0" applyProtection="0"/>
    <xf numFmtId="0" fontId="33" fillId="0" borderId="4" applyNumberFormat="0" applyFill="0" applyAlignment="0" applyProtection="0"/>
    <xf numFmtId="0" fontId="34" fillId="0" borderId="0" applyNumberFormat="0" applyFill="0" applyBorder="0" applyAlignment="0" applyProtection="0"/>
    <xf numFmtId="0" fontId="28" fillId="23" borderId="0" applyNumberFormat="0" applyBorder="0" applyAlignment="0" applyProtection="0"/>
    <xf numFmtId="0" fontId="28" fillId="24" borderId="0" applyNumberFormat="0" applyBorder="0" applyAlignment="0" applyProtection="0"/>
    <xf numFmtId="0" fontId="28" fillId="25" borderId="0" applyNumberFormat="0" applyBorder="0" applyAlignment="0" applyProtection="0"/>
    <xf numFmtId="0" fontId="28" fillId="26" borderId="0" applyNumberFormat="0" applyBorder="0" applyAlignment="0" applyProtection="0"/>
    <xf numFmtId="0" fontId="28" fillId="27" borderId="0" applyNumberFormat="0" applyBorder="0" applyAlignment="0" applyProtection="0"/>
    <xf numFmtId="0" fontId="28" fillId="28" borderId="0" applyNumberFormat="0" applyBorder="0" applyAlignment="0" applyProtection="0"/>
    <xf numFmtId="0" fontId="35" fillId="29" borderId="1" applyNumberFormat="0" applyAlignment="0" applyProtection="0"/>
    <xf numFmtId="0" fontId="36" fillId="0" borderId="0" applyNumberFormat="0" applyFill="0" applyBorder="0" applyAlignment="0" applyProtection="0"/>
    <xf numFmtId="0" fontId="37" fillId="0" borderId="0" applyNumberFormat="0" applyFill="0" applyBorder="0" applyAlignment="0" applyProtection="0"/>
    <xf numFmtId="0" fontId="38" fillId="30"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0" fontId="39" fillId="31"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32" borderId="5" applyNumberFormat="0" applyFont="0" applyAlignment="0" applyProtection="0"/>
    <xf numFmtId="9" fontId="0" fillId="0" borderId="0" applyFont="0" applyFill="0" applyBorder="0" applyAlignment="0" applyProtection="0"/>
    <xf numFmtId="0" fontId="40" fillId="21" borderId="6" applyNumberFormat="0" applyAlignment="0" applyProtection="0"/>
    <xf numFmtId="0" fontId="41" fillId="0" borderId="0" applyNumberFormat="0" applyFill="0" applyBorder="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7" applyNumberFormat="0" applyFill="0" applyAlignment="0" applyProtection="0"/>
    <xf numFmtId="0" fontId="34" fillId="0" borderId="8" applyNumberFormat="0" applyFill="0" applyAlignment="0" applyProtection="0"/>
    <xf numFmtId="0" fontId="45" fillId="0" borderId="9" applyNumberFormat="0" applyFill="0" applyAlignment="0" applyProtection="0"/>
  </cellStyleXfs>
  <cellXfs count="191">
    <xf numFmtId="0" fontId="0" fillId="0" borderId="0" xfId="0" applyFont="1" applyAlignment="1">
      <alignment/>
    </xf>
    <xf numFmtId="0" fontId="46" fillId="0" borderId="0" xfId="0" applyFont="1" applyAlignment="1">
      <alignment/>
    </xf>
    <xf numFmtId="0" fontId="47" fillId="0" borderId="0" xfId="0" applyFont="1" applyFill="1" applyAlignment="1">
      <alignment/>
    </xf>
    <xf numFmtId="0" fontId="47" fillId="0" borderId="0" xfId="0" applyFont="1" applyAlignment="1">
      <alignment/>
    </xf>
    <xf numFmtId="0" fontId="47" fillId="0" borderId="0" xfId="0" applyFont="1" applyAlignment="1">
      <alignment horizontal="center" vertical="center"/>
    </xf>
    <xf numFmtId="0" fontId="4" fillId="0" borderId="10" xfId="0" applyFont="1" applyFill="1" applyBorder="1" applyAlignment="1">
      <alignment horizontal="center" vertical="center" wrapText="1"/>
    </xf>
    <xf numFmtId="0" fontId="4" fillId="0" borderId="10" xfId="0" applyFont="1" applyBorder="1" applyAlignment="1">
      <alignment horizontal="center" vertical="center"/>
    </xf>
    <xf numFmtId="187" fontId="4" fillId="0" borderId="10" xfId="0" applyNumberFormat="1" applyFont="1" applyFill="1" applyBorder="1" applyAlignment="1">
      <alignment horizontal="center" vertical="center"/>
    </xf>
    <xf numFmtId="14" fontId="4" fillId="0" borderId="10" xfId="0" applyNumberFormat="1" applyFont="1" applyFill="1" applyBorder="1" applyAlignment="1">
      <alignment horizontal="center" vertical="center" wrapText="1"/>
    </xf>
    <xf numFmtId="186" fontId="4" fillId="0"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11" xfId="0" applyFont="1" applyFill="1" applyBorder="1" applyAlignment="1">
      <alignment horizontal="center" vertical="center" wrapText="1"/>
    </xf>
    <xf numFmtId="0" fontId="4" fillId="0" borderId="10" xfId="0" applyFont="1" applyFill="1" applyBorder="1" applyAlignment="1" quotePrefix="1">
      <alignment horizontal="center" vertical="center"/>
    </xf>
    <xf numFmtId="14" fontId="4" fillId="0" borderId="10" xfId="0" applyNumberFormat="1" applyFont="1" applyFill="1" applyBorder="1" applyAlignment="1">
      <alignment horizontal="center" vertical="center"/>
    </xf>
    <xf numFmtId="0" fontId="4" fillId="0" borderId="11" xfId="0" applyFont="1" applyFill="1" applyBorder="1" applyAlignment="1">
      <alignment horizontal="center" vertical="center"/>
    </xf>
    <xf numFmtId="0" fontId="4" fillId="0" borderId="10" xfId="0" applyFont="1" applyBorder="1" applyAlignment="1">
      <alignment horizontal="center" vertical="center" wrapText="1"/>
    </xf>
    <xf numFmtId="186" fontId="4" fillId="0" borderId="12" xfId="0" applyNumberFormat="1" applyFont="1" applyFill="1" applyBorder="1" applyAlignment="1">
      <alignment horizontal="center" vertical="center" wrapText="1"/>
    </xf>
    <xf numFmtId="0" fontId="4" fillId="0" borderId="12" xfId="0" applyFont="1" applyFill="1" applyBorder="1" applyAlignment="1">
      <alignment horizontal="center" vertical="center" wrapText="1"/>
    </xf>
    <xf numFmtId="186" fontId="4" fillId="0" borderId="13" xfId="0" applyNumberFormat="1" applyFont="1" applyFill="1" applyBorder="1" applyAlignment="1">
      <alignment horizontal="center" vertical="center" wrapText="1"/>
    </xf>
    <xf numFmtId="0" fontId="4" fillId="0" borderId="13" xfId="0" applyFont="1" applyFill="1" applyBorder="1" applyAlignment="1">
      <alignment horizontal="center" vertical="center" wrapText="1"/>
    </xf>
    <xf numFmtId="4" fontId="47" fillId="0" borderId="0" xfId="0" applyNumberFormat="1" applyFont="1" applyAlignment="1">
      <alignment/>
    </xf>
    <xf numFmtId="4" fontId="4" fillId="0" borderId="10" xfId="0" applyNumberFormat="1" applyFont="1" applyFill="1" applyBorder="1" applyAlignment="1">
      <alignment horizontal="center" vertical="center"/>
    </xf>
    <xf numFmtId="0" fontId="47" fillId="0" borderId="0" xfId="0" applyFont="1" applyBorder="1" applyAlignment="1">
      <alignment/>
    </xf>
    <xf numFmtId="4" fontId="47" fillId="0" borderId="0" xfId="0" applyNumberFormat="1" applyFont="1" applyBorder="1" applyAlignment="1">
      <alignment/>
    </xf>
    <xf numFmtId="4" fontId="48" fillId="0" borderId="0" xfId="0" applyNumberFormat="1" applyFont="1" applyBorder="1" applyAlignment="1">
      <alignment horizontal="center" vertical="center" wrapText="1"/>
    </xf>
    <xf numFmtId="0" fontId="4" fillId="33" borderId="14" xfId="0" applyFont="1" applyFill="1" applyBorder="1" applyAlignment="1">
      <alignment horizontal="center" vertical="center"/>
    </xf>
    <xf numFmtId="0" fontId="4" fillId="0" borderId="10" xfId="0" applyFont="1" applyFill="1" applyBorder="1" applyAlignment="1" quotePrefix="1">
      <alignment horizontal="center" vertical="center" wrapText="1"/>
    </xf>
    <xf numFmtId="0" fontId="49" fillId="0" borderId="0" xfId="0" applyFont="1" applyFill="1" applyAlignment="1">
      <alignment/>
    </xf>
    <xf numFmtId="186" fontId="50" fillId="0" borderId="10" xfId="0" applyNumberFormat="1" applyFont="1" applyBorder="1" applyAlignment="1">
      <alignment horizontal="center" vertical="center"/>
    </xf>
    <xf numFmtId="0" fontId="50" fillId="0" borderId="0" xfId="0" applyFont="1" applyAlignment="1">
      <alignment/>
    </xf>
    <xf numFmtId="0" fontId="50" fillId="0" borderId="0" xfId="0" applyFont="1" applyAlignment="1">
      <alignment horizontal="center" vertical="center"/>
    </xf>
    <xf numFmtId="0" fontId="50" fillId="0" borderId="0" xfId="0" applyFont="1" applyFill="1" applyAlignment="1">
      <alignment/>
    </xf>
    <xf numFmtId="0" fontId="50" fillId="33" borderId="14" xfId="0" applyFont="1" applyFill="1" applyBorder="1" applyAlignment="1">
      <alignment horizontal="center" vertical="center"/>
    </xf>
    <xf numFmtId="186" fontId="50" fillId="33" borderId="14" xfId="0" applyNumberFormat="1" applyFont="1" applyFill="1" applyBorder="1" applyAlignment="1">
      <alignment horizontal="center" vertical="center"/>
    </xf>
    <xf numFmtId="4" fontId="50" fillId="33" borderId="14" xfId="0" applyNumberFormat="1" applyFont="1" applyFill="1" applyBorder="1" applyAlignment="1">
      <alignment horizontal="center" vertical="center"/>
    </xf>
    <xf numFmtId="0" fontId="50" fillId="33" borderId="15" xfId="0" applyFont="1" applyFill="1" applyBorder="1" applyAlignment="1">
      <alignment horizontal="center" vertical="center"/>
    </xf>
    <xf numFmtId="0" fontId="50" fillId="33" borderId="15" xfId="0" applyFont="1" applyFill="1" applyBorder="1" applyAlignment="1">
      <alignment horizontal="center" vertical="center" wrapText="1"/>
    </xf>
    <xf numFmtId="0" fontId="50" fillId="33" borderId="14" xfId="0" applyFont="1" applyFill="1" applyBorder="1" applyAlignment="1">
      <alignment horizontal="center" vertical="center" wrapText="1"/>
    </xf>
    <xf numFmtId="0" fontId="50" fillId="33" borderId="16" xfId="0" applyFont="1" applyFill="1" applyBorder="1" applyAlignment="1">
      <alignment horizontal="center" vertical="center" wrapText="1"/>
    </xf>
    <xf numFmtId="4" fontId="50" fillId="0" borderId="0" xfId="0" applyNumberFormat="1" applyFont="1" applyAlignment="1">
      <alignment/>
    </xf>
    <xf numFmtId="0" fontId="4" fillId="0" borderId="11" xfId="0" applyFont="1" applyBorder="1" applyAlignment="1">
      <alignment horizontal="center" vertical="center" wrapText="1"/>
    </xf>
    <xf numFmtId="0" fontId="4" fillId="0" borderId="11" xfId="0" applyFont="1" applyBorder="1" applyAlignment="1">
      <alignment horizontal="center" vertical="center"/>
    </xf>
    <xf numFmtId="0" fontId="4" fillId="0" borderId="15" xfId="0" applyFont="1" applyBorder="1" applyAlignment="1">
      <alignment horizontal="center" vertical="center"/>
    </xf>
    <xf numFmtId="0" fontId="4" fillId="0" borderId="0" xfId="0" applyFont="1" applyAlignment="1">
      <alignment/>
    </xf>
    <xf numFmtId="0" fontId="4" fillId="33" borderId="15" xfId="0" applyFont="1" applyFill="1" applyBorder="1" applyAlignment="1">
      <alignment horizontal="center" vertical="center"/>
    </xf>
    <xf numFmtId="0" fontId="4" fillId="0" borderId="0" xfId="0" applyFont="1" applyAlignment="1">
      <alignment horizontal="center" vertical="center"/>
    </xf>
    <xf numFmtId="0" fontId="4" fillId="0" borderId="10" xfId="0" applyFont="1" applyBorder="1" applyAlignment="1" quotePrefix="1">
      <alignment horizontal="center" vertical="center" wrapText="1"/>
    </xf>
    <xf numFmtId="0" fontId="4" fillId="0" borderId="15" xfId="0" applyFont="1" applyBorder="1" applyAlignment="1">
      <alignment horizontal="center" vertical="center" wrapText="1"/>
    </xf>
    <xf numFmtId="14" fontId="4" fillId="0" borderId="10" xfId="0" applyNumberFormat="1" applyFont="1" applyFill="1" applyBorder="1" applyAlignment="1" quotePrefix="1">
      <alignment horizontal="center" vertical="center"/>
    </xf>
    <xf numFmtId="0" fontId="4" fillId="0" borderId="10" xfId="0" applyFont="1" applyBorder="1" applyAlignment="1" quotePrefix="1">
      <alignment horizontal="center" vertical="center"/>
    </xf>
    <xf numFmtId="14" fontId="4" fillId="0" borderId="10" xfId="0" applyNumberFormat="1" applyFont="1" applyBorder="1" applyAlignment="1">
      <alignment horizontal="center" vertical="center"/>
    </xf>
    <xf numFmtId="14" fontId="4" fillId="0" borderId="10" xfId="0" applyNumberFormat="1" applyFont="1" applyBorder="1" applyAlignment="1" quotePrefix="1">
      <alignment horizontal="center" vertical="center"/>
    </xf>
    <xf numFmtId="14" fontId="4" fillId="33" borderId="15" xfId="0" applyNumberFormat="1" applyFont="1" applyFill="1" applyBorder="1" applyAlignment="1">
      <alignment horizontal="center" vertical="center"/>
    </xf>
    <xf numFmtId="14" fontId="4" fillId="33" borderId="14" xfId="0" applyNumberFormat="1" applyFont="1" applyFill="1" applyBorder="1" applyAlignment="1">
      <alignment horizontal="center" vertical="center"/>
    </xf>
    <xf numFmtId="0" fontId="4" fillId="0" borderId="11" xfId="0" applyNumberFormat="1" applyFont="1" applyFill="1" applyBorder="1" applyAlignment="1">
      <alignment horizontal="center" vertical="center" wrapText="1"/>
    </xf>
    <xf numFmtId="0" fontId="4" fillId="0" borderId="10" xfId="0" applyNumberFormat="1" applyFont="1" applyFill="1" applyBorder="1" applyAlignment="1">
      <alignment horizontal="center" vertical="center" wrapText="1"/>
    </xf>
    <xf numFmtId="4" fontId="4" fillId="0" borderId="10" xfId="0" applyNumberFormat="1" applyFont="1" applyBorder="1" applyAlignment="1">
      <alignment horizontal="center" vertical="center"/>
    </xf>
    <xf numFmtId="4" fontId="4" fillId="0" borderId="11" xfId="0" applyNumberFormat="1" applyFont="1" applyBorder="1" applyAlignment="1">
      <alignment horizontal="center" vertical="center"/>
    </xf>
    <xf numFmtId="4" fontId="4" fillId="0" borderId="0" xfId="0" applyNumberFormat="1" applyFont="1" applyBorder="1" applyAlignment="1">
      <alignment horizontal="center" vertical="center"/>
    </xf>
    <xf numFmtId="0" fontId="4" fillId="33" borderId="0" xfId="0" applyFont="1" applyFill="1" applyBorder="1" applyAlignment="1">
      <alignment horizontal="center" vertical="center"/>
    </xf>
    <xf numFmtId="0" fontId="47" fillId="0" borderId="10" xfId="0" applyFont="1" applyFill="1" applyBorder="1" applyAlignment="1">
      <alignment horizontal="center" vertical="center"/>
    </xf>
    <xf numFmtId="188" fontId="4" fillId="0" borderId="10" xfId="0" applyNumberFormat="1" applyFont="1" applyFill="1" applyBorder="1" applyAlignment="1">
      <alignment horizontal="center" vertical="center"/>
    </xf>
    <xf numFmtId="186" fontId="4" fillId="0" borderId="10" xfId="0" applyNumberFormat="1" applyFont="1" applyFill="1" applyBorder="1" applyAlignment="1">
      <alignment horizontal="center" vertical="center" wrapText="1"/>
    </xf>
    <xf numFmtId="186" fontId="4" fillId="0" borderId="11" xfId="0" applyNumberFormat="1" applyFont="1" applyFill="1" applyBorder="1" applyAlignment="1">
      <alignment horizontal="center" vertical="center"/>
    </xf>
    <xf numFmtId="2" fontId="4" fillId="0" borderId="10" xfId="0" applyNumberFormat="1" applyFont="1" applyFill="1" applyBorder="1" applyAlignment="1">
      <alignment horizontal="center" vertical="center"/>
    </xf>
    <xf numFmtId="0" fontId="4" fillId="0" borderId="15" xfId="0" applyFont="1" applyFill="1" applyBorder="1" applyAlignment="1">
      <alignment horizontal="center" vertical="center" wrapText="1"/>
    </xf>
    <xf numFmtId="186" fontId="4" fillId="0" borderId="14" xfId="0" applyNumberFormat="1" applyFont="1" applyFill="1" applyBorder="1" applyAlignment="1">
      <alignment horizontal="center" vertical="center"/>
    </xf>
    <xf numFmtId="4" fontId="4" fillId="0" borderId="14" xfId="0" applyNumberFormat="1" applyFont="1" applyFill="1" applyBorder="1" applyAlignment="1">
      <alignment horizontal="center" vertical="center"/>
    </xf>
    <xf numFmtId="186" fontId="4" fillId="0" borderId="10" xfId="0" applyNumberFormat="1" applyFont="1" applyBorder="1" applyAlignment="1">
      <alignment horizontal="center" vertical="center"/>
    </xf>
    <xf numFmtId="3" fontId="4" fillId="0" borderId="10" xfId="0" applyNumberFormat="1" applyFont="1" applyBorder="1" applyAlignment="1">
      <alignment horizontal="center" vertical="center"/>
    </xf>
    <xf numFmtId="0" fontId="4" fillId="0" borderId="14" xfId="0" applyFont="1" applyBorder="1" applyAlignment="1">
      <alignment horizontal="center" vertical="center"/>
    </xf>
    <xf numFmtId="0" fontId="4" fillId="0" borderId="15" xfId="0" applyFont="1" applyFill="1" applyBorder="1" applyAlignment="1">
      <alignment horizontal="center" vertical="center"/>
    </xf>
    <xf numFmtId="0" fontId="50" fillId="0" borderId="10" xfId="0" applyFont="1" applyBorder="1" applyAlignment="1">
      <alignment horizontal="center" vertical="center"/>
    </xf>
    <xf numFmtId="186" fontId="4" fillId="0" borderId="14" xfId="0" applyNumberFormat="1" applyFont="1" applyBorder="1" applyAlignment="1">
      <alignment horizontal="center" vertical="center"/>
    </xf>
    <xf numFmtId="4" fontId="4" fillId="0" borderId="14" xfId="0" applyNumberFormat="1" applyFont="1" applyBorder="1" applyAlignment="1">
      <alignment horizontal="center" vertical="center"/>
    </xf>
    <xf numFmtId="0" fontId="47" fillId="0" borderId="10" xfId="0" applyFont="1" applyBorder="1" applyAlignment="1">
      <alignment horizontal="center" vertical="center"/>
    </xf>
    <xf numFmtId="0" fontId="4" fillId="0" borderId="10" xfId="54" applyFont="1" applyFill="1" applyBorder="1" applyAlignment="1">
      <alignment horizontal="center" vertical="center" wrapText="1"/>
      <protection/>
    </xf>
    <xf numFmtId="186" fontId="4" fillId="0" borderId="14" xfId="0" applyNumberFormat="1" applyFont="1" applyBorder="1" applyAlignment="1">
      <alignment horizontal="center" vertical="center" wrapText="1"/>
    </xf>
    <xf numFmtId="188" fontId="4" fillId="0" borderId="14" xfId="0" applyNumberFormat="1" applyFont="1" applyBorder="1" applyAlignment="1">
      <alignment horizontal="center" vertical="center"/>
    </xf>
    <xf numFmtId="0" fontId="4" fillId="34" borderId="10" xfId="54" applyFont="1" applyFill="1" applyBorder="1" applyAlignment="1">
      <alignment horizontal="center" vertical="center" wrapText="1"/>
      <protection/>
    </xf>
    <xf numFmtId="2" fontId="4" fillId="0" borderId="10" xfId="0" applyNumberFormat="1" applyFont="1" applyBorder="1" applyAlignment="1">
      <alignment horizontal="center" vertical="center"/>
    </xf>
    <xf numFmtId="0" fontId="4" fillId="0" borderId="15" xfId="54" applyFont="1" applyFill="1" applyBorder="1" applyAlignment="1">
      <alignment horizontal="center" vertical="center" wrapText="1"/>
      <protection/>
    </xf>
    <xf numFmtId="0" fontId="4" fillId="0" borderId="16" xfId="0" applyFont="1" applyBorder="1" applyAlignment="1">
      <alignment horizontal="center" vertical="center" wrapText="1"/>
    </xf>
    <xf numFmtId="0" fontId="4" fillId="0" borderId="11" xfId="54" applyFont="1" applyFill="1" applyBorder="1" applyAlignment="1">
      <alignment horizontal="center" vertical="center" wrapText="1"/>
      <protection/>
    </xf>
    <xf numFmtId="2" fontId="4" fillId="0" borderId="14" xfId="0" applyNumberFormat="1" applyFont="1" applyBorder="1" applyAlignment="1">
      <alignment horizontal="center" vertical="center"/>
    </xf>
    <xf numFmtId="0" fontId="50" fillId="0" borderId="10" xfId="0" applyFont="1" applyFill="1" applyBorder="1" applyAlignment="1">
      <alignment horizontal="center" vertical="center"/>
    </xf>
    <xf numFmtId="188" fontId="4" fillId="0" borderId="10" xfId="0" applyNumberFormat="1" applyFont="1" applyBorder="1" applyAlignment="1">
      <alignment horizontal="center" vertical="center"/>
    </xf>
    <xf numFmtId="198" fontId="4" fillId="0" borderId="14" xfId="0" applyNumberFormat="1" applyFont="1" applyBorder="1" applyAlignment="1">
      <alignment horizontal="center" vertical="center"/>
    </xf>
    <xf numFmtId="188" fontId="4" fillId="0" borderId="10" xfId="0" applyNumberFormat="1" applyFont="1" applyBorder="1" applyAlignment="1">
      <alignment horizontal="center" vertical="center" wrapText="1"/>
    </xf>
    <xf numFmtId="186" fontId="47" fillId="0" borderId="14" xfId="0" applyNumberFormat="1" applyFont="1" applyBorder="1" applyAlignment="1">
      <alignment horizontal="center" vertical="center"/>
    </xf>
    <xf numFmtId="4" fontId="47" fillId="0" borderId="14" xfId="0" applyNumberFormat="1" applyFont="1" applyBorder="1" applyAlignment="1">
      <alignment horizontal="center" vertical="center"/>
    </xf>
    <xf numFmtId="0" fontId="5" fillId="35" borderId="10" xfId="0" applyFont="1" applyFill="1" applyBorder="1" applyAlignment="1">
      <alignment horizontal="center" vertical="center" wrapText="1"/>
    </xf>
    <xf numFmtId="0" fontId="5" fillId="35" borderId="11" xfId="0" applyFont="1" applyFill="1" applyBorder="1" applyAlignment="1">
      <alignment horizontal="center" vertical="center" wrapText="1"/>
    </xf>
    <xf numFmtId="0" fontId="5" fillId="35" borderId="10" xfId="0" applyFont="1" applyFill="1" applyBorder="1" applyAlignment="1">
      <alignment horizontal="center" vertical="center" wrapText="1"/>
    </xf>
    <xf numFmtId="0" fontId="5" fillId="35" borderId="11" xfId="0" applyFont="1" applyFill="1" applyBorder="1" applyAlignment="1">
      <alignment horizontal="center" vertical="center" wrapText="1"/>
    </xf>
    <xf numFmtId="0" fontId="50" fillId="0" borderId="14" xfId="0" applyFont="1" applyBorder="1" applyAlignment="1">
      <alignment horizontal="center" vertical="center"/>
    </xf>
    <xf numFmtId="0" fontId="47" fillId="0" borderId="14" xfId="0" applyFont="1" applyBorder="1" applyAlignment="1">
      <alignment horizontal="center" vertical="center"/>
    </xf>
    <xf numFmtId="0" fontId="4" fillId="0" borderId="14" xfId="0" applyFont="1" applyFill="1" applyBorder="1" applyAlignment="1">
      <alignment horizontal="center" vertical="center"/>
    </xf>
    <xf numFmtId="0" fontId="50" fillId="0" borderId="14" xfId="0" applyFont="1" applyFill="1" applyBorder="1" applyAlignment="1">
      <alignment horizontal="center" vertical="center"/>
    </xf>
    <xf numFmtId="0" fontId="4" fillId="0" borderId="11" xfId="0" applyFont="1" applyFill="1" applyBorder="1" applyAlignment="1" quotePrefix="1">
      <alignment horizontal="center" vertical="center"/>
    </xf>
    <xf numFmtId="0" fontId="4" fillId="0" borderId="0" xfId="0" applyFont="1" applyFill="1" applyAlignment="1">
      <alignment horizontal="center" vertical="center"/>
    </xf>
    <xf numFmtId="0" fontId="4" fillId="0" borderId="14" xfId="0" applyFont="1" applyFill="1" applyBorder="1" applyAlignment="1">
      <alignment horizontal="center" vertical="center" wrapText="1"/>
    </xf>
    <xf numFmtId="1" fontId="4" fillId="0" borderId="10" xfId="0" applyNumberFormat="1" applyFont="1" applyFill="1" applyBorder="1" applyAlignment="1">
      <alignment horizontal="center" vertical="center"/>
    </xf>
    <xf numFmtId="0" fontId="4" fillId="0" borderId="14" xfId="0" applyFont="1" applyFill="1" applyBorder="1" applyAlignment="1" quotePrefix="1">
      <alignment horizontal="center" vertical="center"/>
    </xf>
    <xf numFmtId="0" fontId="47" fillId="0" borderId="14" xfId="0" applyFont="1" applyBorder="1" applyAlignment="1">
      <alignment horizontal="center" vertical="center"/>
    </xf>
    <xf numFmtId="186" fontId="47" fillId="0" borderId="10" xfId="0" applyNumberFormat="1" applyFont="1" applyFill="1" applyBorder="1" applyAlignment="1">
      <alignment horizontal="center" vertical="center"/>
    </xf>
    <xf numFmtId="4" fontId="47" fillId="0" borderId="14" xfId="0" applyNumberFormat="1" applyFont="1" applyFill="1" applyBorder="1" applyAlignment="1">
      <alignment horizontal="center" vertical="center"/>
    </xf>
    <xf numFmtId="0" fontId="47" fillId="0" borderId="16" xfId="0" applyFont="1" applyFill="1" applyBorder="1" applyAlignment="1">
      <alignment horizontal="center" vertical="center" wrapText="1"/>
    </xf>
    <xf numFmtId="0" fontId="4" fillId="0" borderId="15" xfId="0" applyFont="1" applyFill="1" applyBorder="1" applyAlignment="1" quotePrefix="1">
      <alignment horizontal="center" vertical="center"/>
    </xf>
    <xf numFmtId="0" fontId="47" fillId="0" borderId="14" xfId="0" applyFont="1" applyFill="1" applyBorder="1" applyAlignment="1">
      <alignment horizontal="center" vertical="center"/>
    </xf>
    <xf numFmtId="4" fontId="4" fillId="0" borderId="11" xfId="0" applyNumberFormat="1" applyFont="1" applyFill="1" applyBorder="1" applyAlignment="1">
      <alignment horizontal="center" vertical="center"/>
    </xf>
    <xf numFmtId="188" fontId="4" fillId="0" borderId="14" xfId="0" applyNumberFormat="1" applyFont="1" applyFill="1" applyBorder="1" applyAlignment="1">
      <alignment horizontal="center" vertical="center"/>
    </xf>
    <xf numFmtId="1" fontId="4" fillId="0" borderId="14" xfId="0" applyNumberFormat="1" applyFont="1" applyFill="1" applyBorder="1" applyAlignment="1">
      <alignment horizontal="center" vertical="center"/>
    </xf>
    <xf numFmtId="4" fontId="47" fillId="0" borderId="10" xfId="0" applyNumberFormat="1" applyFont="1" applyFill="1" applyBorder="1" applyAlignment="1">
      <alignment horizontal="center" vertical="center"/>
    </xf>
    <xf numFmtId="186" fontId="4" fillId="0" borderId="15" xfId="0" applyNumberFormat="1" applyFont="1" applyFill="1" applyBorder="1" applyAlignment="1">
      <alignment horizontal="center" vertical="center"/>
    </xf>
    <xf numFmtId="4" fontId="4" fillId="0" borderId="15" xfId="0" applyNumberFormat="1" applyFont="1" applyFill="1" applyBorder="1" applyAlignment="1">
      <alignment horizontal="center" vertical="center"/>
    </xf>
    <xf numFmtId="186" fontId="50" fillId="0" borderId="10" xfId="0" applyNumberFormat="1" applyFont="1" applyFill="1" applyBorder="1" applyAlignment="1">
      <alignment horizontal="center" vertical="center"/>
    </xf>
    <xf numFmtId="3" fontId="4" fillId="0" borderId="14" xfId="0" applyNumberFormat="1" applyFont="1" applyBorder="1" applyAlignment="1">
      <alignment horizontal="center" vertical="center"/>
    </xf>
    <xf numFmtId="0" fontId="47" fillId="0" borderId="14" xfId="0" applyFont="1" applyFill="1" applyBorder="1" applyAlignment="1">
      <alignment horizontal="center" vertical="center"/>
    </xf>
    <xf numFmtId="186" fontId="47" fillId="0" borderId="14" xfId="0" applyNumberFormat="1" applyFont="1" applyFill="1" applyBorder="1" applyAlignment="1">
      <alignment horizontal="center" vertical="center"/>
    </xf>
    <xf numFmtId="14" fontId="4" fillId="0" borderId="10" xfId="0" applyNumberFormat="1" applyFont="1" applyBorder="1" applyAlignment="1">
      <alignment horizontal="center" vertical="center" wrapText="1"/>
    </xf>
    <xf numFmtId="198" fontId="4" fillId="0" borderId="10" xfId="0" applyNumberFormat="1" applyFont="1" applyBorder="1" applyAlignment="1">
      <alignment horizontal="center" vertical="center"/>
    </xf>
    <xf numFmtId="4" fontId="48" fillId="0" borderId="0" xfId="0" applyNumberFormat="1" applyFont="1" applyBorder="1" applyAlignment="1">
      <alignment horizontal="left" vertical="center" wrapText="1"/>
    </xf>
    <xf numFmtId="4" fontId="47" fillId="0" borderId="0" xfId="0" applyNumberFormat="1" applyFont="1" applyAlignment="1">
      <alignment horizontal="right"/>
    </xf>
    <xf numFmtId="4" fontId="47" fillId="0" borderId="0" xfId="0" applyNumberFormat="1" applyFont="1" applyBorder="1" applyAlignment="1">
      <alignment horizontal="right"/>
    </xf>
    <xf numFmtId="4" fontId="48" fillId="0" borderId="0" xfId="0" applyNumberFormat="1" applyFont="1" applyBorder="1" applyAlignment="1">
      <alignment horizontal="right" vertical="center" wrapText="1"/>
    </xf>
    <xf numFmtId="0" fontId="47" fillId="0" borderId="0" xfId="0" applyFont="1" applyBorder="1" applyAlignment="1">
      <alignment horizontal="left"/>
    </xf>
    <xf numFmtId="0" fontId="46" fillId="0" borderId="0" xfId="0" applyFont="1" applyBorder="1" applyAlignment="1">
      <alignment/>
    </xf>
    <xf numFmtId="4" fontId="46" fillId="0" borderId="0" xfId="0" applyNumberFormat="1" applyFont="1" applyBorder="1" applyAlignment="1">
      <alignment/>
    </xf>
    <xf numFmtId="4" fontId="46" fillId="0" borderId="0" xfId="0" applyNumberFormat="1" applyFont="1" applyAlignment="1">
      <alignment/>
    </xf>
    <xf numFmtId="209" fontId="47" fillId="0" borderId="10" xfId="0" applyNumberFormat="1" applyFont="1" applyFill="1" applyBorder="1" applyAlignment="1">
      <alignment horizontal="center" vertical="center"/>
    </xf>
    <xf numFmtId="209" fontId="4" fillId="0" borderId="10" xfId="0" applyNumberFormat="1" applyFont="1" applyFill="1" applyBorder="1" applyAlignment="1" quotePrefix="1">
      <alignment horizontal="center" vertical="center"/>
    </xf>
    <xf numFmtId="14" fontId="47" fillId="0" borderId="10" xfId="0" applyNumberFormat="1" applyFont="1" applyFill="1" applyBorder="1" applyAlignment="1">
      <alignment horizontal="center" vertical="center"/>
    </xf>
    <xf numFmtId="209" fontId="4" fillId="0" borderId="10" xfId="0" applyNumberFormat="1" applyFont="1" applyFill="1" applyBorder="1" applyAlignment="1">
      <alignment horizontal="center" vertical="center"/>
    </xf>
    <xf numFmtId="14" fontId="47" fillId="0" borderId="10" xfId="0" applyNumberFormat="1" applyFont="1" applyFill="1" applyBorder="1" applyAlignment="1" quotePrefix="1">
      <alignment horizontal="center" vertical="center"/>
    </xf>
    <xf numFmtId="0" fontId="4" fillId="0" borderId="11"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11"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11" xfId="0" applyFont="1" applyFill="1" applyBorder="1" applyAlignment="1" quotePrefix="1">
      <alignment horizontal="center" vertical="center"/>
    </xf>
    <xf numFmtId="0" fontId="4" fillId="0" borderId="14" xfId="0" applyFont="1" applyFill="1" applyBorder="1" applyAlignment="1" quotePrefix="1">
      <alignment horizontal="center" vertical="center"/>
    </xf>
    <xf numFmtId="0" fontId="4" fillId="0" borderId="10" xfId="0" applyFont="1" applyFill="1" applyBorder="1" applyAlignment="1">
      <alignment horizontal="center" vertical="center"/>
    </xf>
    <xf numFmtId="14" fontId="4" fillId="0" borderId="10" xfId="0" applyNumberFormat="1" applyFont="1" applyFill="1" applyBorder="1" applyAlignment="1" quotePrefix="1">
      <alignment horizontal="center" vertical="center"/>
    </xf>
    <xf numFmtId="0" fontId="4" fillId="0" borderId="10" xfId="0" applyFont="1" applyFill="1" applyBorder="1" applyAlignment="1" quotePrefix="1">
      <alignment horizontal="center" vertical="center" wrapText="1"/>
    </xf>
    <xf numFmtId="0" fontId="4" fillId="0" borderId="10" xfId="0" applyFont="1" applyFill="1" applyBorder="1" applyAlignment="1">
      <alignment horizontal="center" vertical="center" wrapText="1"/>
    </xf>
    <xf numFmtId="0" fontId="46" fillId="35" borderId="10" xfId="0" applyFont="1" applyFill="1" applyBorder="1" applyAlignment="1">
      <alignment horizontal="center" vertical="center" wrapText="1"/>
    </xf>
    <xf numFmtId="0" fontId="46" fillId="35" borderId="11" xfId="0" applyFont="1" applyFill="1" applyBorder="1" applyAlignment="1">
      <alignment horizontal="center" vertical="center" wrapText="1"/>
    </xf>
    <xf numFmtId="3" fontId="46" fillId="35" borderId="10" xfId="0" applyNumberFormat="1" applyFont="1" applyFill="1" applyBorder="1" applyAlignment="1">
      <alignment horizontal="center" vertical="center" wrapText="1"/>
    </xf>
    <xf numFmtId="3" fontId="46" fillId="35" borderId="11" xfId="0" applyNumberFormat="1" applyFont="1" applyFill="1" applyBorder="1" applyAlignment="1">
      <alignment horizontal="center" vertical="center" wrapText="1"/>
    </xf>
    <xf numFmtId="4" fontId="46" fillId="35" borderId="10" xfId="0" applyNumberFormat="1" applyFont="1" applyFill="1" applyBorder="1" applyAlignment="1">
      <alignment horizontal="center" vertical="center" wrapText="1"/>
    </xf>
    <xf numFmtId="4" fontId="46" fillId="35" borderId="11" xfId="0" applyNumberFormat="1" applyFont="1" applyFill="1" applyBorder="1" applyAlignment="1">
      <alignment horizontal="center" vertical="center" wrapText="1"/>
    </xf>
    <xf numFmtId="0" fontId="4" fillId="0" borderId="10" xfId="0" applyFont="1" applyFill="1" applyBorder="1" applyAlignment="1" quotePrefix="1">
      <alignment horizontal="center" vertical="center"/>
    </xf>
    <xf numFmtId="0" fontId="5" fillId="35" borderId="10" xfId="0" applyFont="1" applyFill="1" applyBorder="1" applyAlignment="1">
      <alignment horizontal="center" vertical="center" wrapText="1"/>
    </xf>
    <xf numFmtId="0" fontId="4" fillId="0" borderId="15" xfId="0" applyFont="1" applyFill="1" applyBorder="1" applyAlignment="1">
      <alignment horizontal="center" vertical="center"/>
    </xf>
    <xf numFmtId="0" fontId="5" fillId="35" borderId="11"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5" fillId="35" borderId="14" xfId="0" applyFont="1" applyFill="1" applyBorder="1" applyAlignment="1">
      <alignment horizontal="center" vertical="center" wrapText="1"/>
    </xf>
    <xf numFmtId="0" fontId="4" fillId="0" borderId="10" xfId="0" applyFont="1" applyBorder="1" applyAlignment="1">
      <alignment horizontal="center" vertical="center"/>
    </xf>
    <xf numFmtId="0" fontId="4" fillId="0" borderId="10" xfId="0" applyFont="1" applyBorder="1" applyAlignment="1" quotePrefix="1">
      <alignment horizontal="center" vertical="center"/>
    </xf>
    <xf numFmtId="0" fontId="4" fillId="0" borderId="10" xfId="0" applyFont="1" applyBorder="1" applyAlignment="1">
      <alignment horizontal="center" vertical="center" wrapText="1"/>
    </xf>
    <xf numFmtId="14" fontId="4" fillId="0" borderId="10" xfId="0" applyNumberFormat="1" applyFont="1" applyBorder="1" applyAlignment="1">
      <alignment horizontal="center" vertical="center"/>
    </xf>
    <xf numFmtId="0" fontId="4" fillId="0" borderId="11" xfId="0" applyFont="1" applyBorder="1" applyAlignment="1" quotePrefix="1">
      <alignment horizontal="center" vertical="center"/>
    </xf>
    <xf numFmtId="0" fontId="4" fillId="0" borderId="14" xfId="0" applyFont="1" applyBorder="1" applyAlignment="1" quotePrefix="1">
      <alignment horizontal="center" vertical="center"/>
    </xf>
    <xf numFmtId="0" fontId="4" fillId="0" borderId="11" xfId="0" applyFont="1" applyBorder="1" applyAlignment="1">
      <alignment horizontal="center" vertical="center" wrapText="1"/>
    </xf>
    <xf numFmtId="0" fontId="4" fillId="0" borderId="14" xfId="0" applyFont="1" applyBorder="1" applyAlignment="1">
      <alignment horizontal="center" vertical="center" wrapText="1"/>
    </xf>
    <xf numFmtId="0" fontId="50" fillId="0" borderId="11" xfId="0" applyFont="1" applyBorder="1" applyAlignment="1">
      <alignment horizontal="center" vertical="center"/>
    </xf>
    <xf numFmtId="0" fontId="50" fillId="0" borderId="14" xfId="0" applyFont="1" applyBorder="1" applyAlignment="1">
      <alignment horizontal="center" vertical="center"/>
    </xf>
    <xf numFmtId="0" fontId="4" fillId="0" borderId="11" xfId="0" applyFont="1" applyBorder="1" applyAlignment="1">
      <alignment horizontal="center" vertical="center"/>
    </xf>
    <xf numFmtId="0" fontId="4" fillId="0" borderId="14" xfId="0" applyFont="1" applyBorder="1" applyAlignment="1">
      <alignment horizontal="center" vertical="center"/>
    </xf>
    <xf numFmtId="0" fontId="4" fillId="34" borderId="11" xfId="54" applyFont="1" applyFill="1" applyBorder="1" applyAlignment="1">
      <alignment horizontal="center" vertical="center" wrapText="1"/>
      <protection/>
    </xf>
    <xf numFmtId="0" fontId="4" fillId="34" borderId="14" xfId="54" applyFont="1" applyFill="1" applyBorder="1" applyAlignment="1">
      <alignment horizontal="center" vertical="center" wrapText="1"/>
      <protection/>
    </xf>
    <xf numFmtId="4" fontId="4" fillId="0" borderId="11" xfId="0" applyNumberFormat="1" applyFont="1" applyFill="1" applyBorder="1" applyAlignment="1">
      <alignment horizontal="center" vertical="center"/>
    </xf>
    <xf numFmtId="4" fontId="4" fillId="0" borderId="14" xfId="0" applyNumberFormat="1" applyFont="1" applyFill="1" applyBorder="1" applyAlignment="1">
      <alignment horizontal="center" vertical="center"/>
    </xf>
    <xf numFmtId="187" fontId="4" fillId="0" borderId="11" xfId="0" applyNumberFormat="1" applyFont="1" applyFill="1" applyBorder="1" applyAlignment="1">
      <alignment horizontal="center" vertical="center"/>
    </xf>
    <xf numFmtId="187" fontId="4" fillId="0" borderId="14" xfId="0" applyNumberFormat="1" applyFont="1" applyFill="1" applyBorder="1" applyAlignment="1">
      <alignment horizontal="center" vertical="center"/>
    </xf>
    <xf numFmtId="14" fontId="4" fillId="0" borderId="11" xfId="0" applyNumberFormat="1" applyFont="1" applyFill="1" applyBorder="1" applyAlignment="1">
      <alignment horizontal="center" vertical="center"/>
    </xf>
    <xf numFmtId="14" fontId="4" fillId="0" borderId="15" xfId="0" applyNumberFormat="1" applyFont="1" applyFill="1" applyBorder="1" applyAlignment="1">
      <alignment horizontal="center" vertical="center"/>
    </xf>
    <xf numFmtId="14" fontId="4" fillId="0" borderId="14" xfId="0" applyNumberFormat="1" applyFont="1" applyFill="1" applyBorder="1" applyAlignment="1">
      <alignment horizontal="center" vertical="center"/>
    </xf>
    <xf numFmtId="14" fontId="4" fillId="0" borderId="10" xfId="0" applyNumberFormat="1" applyFont="1" applyBorder="1" applyAlignment="1" quotePrefix="1">
      <alignment horizontal="center" vertical="center"/>
    </xf>
    <xf numFmtId="14" fontId="4" fillId="0" borderId="10" xfId="0" applyNumberFormat="1" applyFont="1" applyFill="1" applyBorder="1" applyAlignment="1">
      <alignment horizontal="center" vertical="center"/>
    </xf>
    <xf numFmtId="0" fontId="4" fillId="0" borderId="17" xfId="0" applyFont="1" applyBorder="1" applyAlignment="1">
      <alignment horizontal="center" vertical="center" wrapText="1"/>
    </xf>
    <xf numFmtId="0" fontId="4" fillId="0" borderId="18" xfId="0" applyFont="1" applyBorder="1" applyAlignment="1">
      <alignment horizontal="center" vertical="center" wrapText="1"/>
    </xf>
    <xf numFmtId="0" fontId="4" fillId="0" borderId="19" xfId="0" applyFont="1" applyBorder="1" applyAlignment="1">
      <alignment horizontal="center" vertical="center" wrapText="1"/>
    </xf>
    <xf numFmtId="0" fontId="4" fillId="0" borderId="15" xfId="0" applyFont="1" applyBorder="1" applyAlignment="1">
      <alignment horizontal="center" vertical="center" wrapText="1"/>
    </xf>
    <xf numFmtId="0" fontId="4" fillId="0" borderId="15" xfId="0" applyFont="1" applyBorder="1" applyAlignment="1">
      <alignment horizontal="center" vertical="center"/>
    </xf>
    <xf numFmtId="186" fontId="4" fillId="0" borderId="11" xfId="0" applyNumberFormat="1" applyFont="1" applyBorder="1" applyAlignment="1">
      <alignment horizontal="center" vertical="center"/>
    </xf>
    <xf numFmtId="186" fontId="4" fillId="0" borderId="14" xfId="0" applyNumberFormat="1" applyFont="1" applyBorder="1" applyAlignment="1">
      <alignment horizontal="center" vertical="center"/>
    </xf>
    <xf numFmtId="14" fontId="4" fillId="0" borderId="10" xfId="0" applyNumberFormat="1" applyFont="1" applyFill="1" applyBorder="1" applyAlignment="1">
      <alignment horizontal="center" vertical="center" wrapText="1"/>
    </xf>
    <xf numFmtId="0" fontId="47" fillId="0" borderId="11" xfId="0" applyFont="1" applyBorder="1" applyAlignment="1">
      <alignment horizontal="center" vertical="center" wrapText="1"/>
    </xf>
    <xf numFmtId="0" fontId="47" fillId="0" borderId="15" xfId="0" applyFont="1" applyBorder="1" applyAlignment="1">
      <alignment horizontal="center" vertical="center" wrapText="1"/>
    </xf>
    <xf numFmtId="0" fontId="47" fillId="0" borderId="14" xfId="0" applyFont="1" applyBorder="1" applyAlignment="1">
      <alignment horizontal="center" vertical="center" wrapText="1"/>
    </xf>
  </cellXfs>
  <cellStyles count="53">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rmal 2" xfId="54"/>
    <cellStyle name="Normal 2 2" xfId="55"/>
    <cellStyle name="Normal 3" xfId="56"/>
    <cellStyle name="Normal 3 2" xfId="57"/>
    <cellStyle name="Notas" xfId="58"/>
    <cellStyle name="Percent" xfId="59"/>
    <cellStyle name="Salida" xfId="60"/>
    <cellStyle name="Texto de advertencia" xfId="61"/>
    <cellStyle name="Texto explicativo" xfId="62"/>
    <cellStyle name="Título" xfId="63"/>
    <cellStyle name="Título 2" xfId="64"/>
    <cellStyle name="Título 3" xfId="65"/>
    <cellStyle name="Total" xfId="66"/>
  </cellStyles>
  <dxfs count="6">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AE113"/>
  <sheetViews>
    <sheetView tabSelected="1" zoomScale="80" zoomScaleNormal="80" zoomScalePageLayoutView="0" workbookViewId="0" topLeftCell="A1">
      <pane xSplit="4" ySplit="2" topLeftCell="E3" activePane="bottomRight" state="frozen"/>
      <selection pane="topLeft" activeCell="A1" sqref="A1"/>
      <selection pane="topRight" activeCell="F1" sqref="F1"/>
      <selection pane="bottomLeft" activeCell="A3" sqref="A3"/>
      <selection pane="bottomRight" activeCell="A3" sqref="A3"/>
    </sheetView>
  </sheetViews>
  <sheetFormatPr defaultColWidth="11.421875" defaultRowHeight="15"/>
  <cols>
    <col min="1" max="3" width="12.7109375" style="3" customWidth="1"/>
    <col min="4" max="4" width="34.140625" style="2" customWidth="1"/>
    <col min="5" max="5" width="39.00390625" style="4" customWidth="1"/>
    <col min="6" max="6" width="17.8515625" style="45" customWidth="1"/>
    <col min="7" max="7" width="11.421875" style="45" customWidth="1"/>
    <col min="8" max="8" width="18.421875" style="45" customWidth="1"/>
    <col min="9" max="9" width="11.421875" style="45" customWidth="1"/>
    <col min="10" max="10" width="20.7109375" style="45" customWidth="1"/>
    <col min="11" max="11" width="27.57421875" style="45" customWidth="1"/>
    <col min="12" max="12" width="11.421875" style="45" customWidth="1"/>
    <col min="13" max="13" width="14.7109375" style="45" customWidth="1"/>
    <col min="14" max="14" width="13.140625" style="43" customWidth="1"/>
    <col min="15" max="15" width="11.421875" style="43" customWidth="1"/>
    <col min="16" max="20" width="20.7109375" style="43" customWidth="1"/>
    <col min="21" max="21" width="54.57421875" style="3" customWidth="1"/>
    <col min="22" max="28" width="11.421875" style="3" customWidth="1"/>
    <col min="29" max="29" width="15.421875" style="3" customWidth="1"/>
    <col min="30" max="30" width="16.140625" style="20" customWidth="1"/>
    <col min="31" max="31" width="12.8515625" style="20" customWidth="1"/>
    <col min="32" max="16384" width="11.421875" style="3" customWidth="1"/>
  </cols>
  <sheetData>
    <row r="1" spans="1:31" s="1" customFormat="1" ht="58.5" customHeight="1">
      <c r="A1" s="152" t="s">
        <v>0</v>
      </c>
      <c r="B1" s="154" t="s">
        <v>421</v>
      </c>
      <c r="C1" s="154" t="s">
        <v>45</v>
      </c>
      <c r="D1" s="152" t="s">
        <v>1</v>
      </c>
      <c r="E1" s="152" t="s">
        <v>2</v>
      </c>
      <c r="F1" s="152" t="s">
        <v>3</v>
      </c>
      <c r="G1" s="152" t="s">
        <v>4</v>
      </c>
      <c r="H1" s="152"/>
      <c r="I1" s="152"/>
      <c r="J1" s="152"/>
      <c r="K1" s="152"/>
      <c r="L1" s="152"/>
      <c r="M1" s="152"/>
      <c r="N1" s="152" t="s">
        <v>46</v>
      </c>
      <c r="O1" s="152" t="s">
        <v>47</v>
      </c>
      <c r="P1" s="152" t="s">
        <v>48</v>
      </c>
      <c r="Q1" s="152"/>
      <c r="R1" s="152" t="s">
        <v>49</v>
      </c>
      <c r="S1" s="152" t="s">
        <v>50</v>
      </c>
      <c r="T1" s="152"/>
      <c r="U1" s="152" t="s">
        <v>51</v>
      </c>
      <c r="V1" s="145" t="s">
        <v>139</v>
      </c>
      <c r="W1" s="145" t="s">
        <v>52</v>
      </c>
      <c r="X1" s="145" t="s">
        <v>53</v>
      </c>
      <c r="Y1" s="145" t="s">
        <v>59</v>
      </c>
      <c r="Z1" s="145" t="s">
        <v>140</v>
      </c>
      <c r="AA1" s="145" t="s">
        <v>54</v>
      </c>
      <c r="AB1" s="147" t="s">
        <v>55</v>
      </c>
      <c r="AC1" s="147" t="s">
        <v>56</v>
      </c>
      <c r="AD1" s="149" t="s">
        <v>141</v>
      </c>
      <c r="AE1" s="149" t="s">
        <v>57</v>
      </c>
    </row>
    <row r="2" spans="1:31" s="1" customFormat="1" ht="54" customHeight="1">
      <c r="A2" s="152"/>
      <c r="B2" s="156"/>
      <c r="C2" s="156"/>
      <c r="D2" s="152"/>
      <c r="E2" s="152"/>
      <c r="F2" s="152"/>
      <c r="G2" s="91" t="s">
        <v>5</v>
      </c>
      <c r="H2" s="91" t="s">
        <v>6</v>
      </c>
      <c r="I2" s="91" t="s">
        <v>7</v>
      </c>
      <c r="J2" s="91" t="s">
        <v>8</v>
      </c>
      <c r="K2" s="91" t="s">
        <v>9</v>
      </c>
      <c r="L2" s="91" t="s">
        <v>10</v>
      </c>
      <c r="M2" s="92" t="s">
        <v>11</v>
      </c>
      <c r="N2" s="154"/>
      <c r="O2" s="154"/>
      <c r="P2" s="92" t="s">
        <v>60</v>
      </c>
      <c r="Q2" s="92" t="s">
        <v>61</v>
      </c>
      <c r="R2" s="154"/>
      <c r="S2" s="92" t="s">
        <v>62</v>
      </c>
      <c r="T2" s="92" t="s">
        <v>63</v>
      </c>
      <c r="U2" s="154"/>
      <c r="V2" s="146"/>
      <c r="W2" s="146" t="s">
        <v>52</v>
      </c>
      <c r="X2" s="146" t="s">
        <v>53</v>
      </c>
      <c r="Y2" s="146" t="s">
        <v>53</v>
      </c>
      <c r="Z2" s="146" t="s">
        <v>140</v>
      </c>
      <c r="AA2" s="146" t="s">
        <v>54</v>
      </c>
      <c r="AB2" s="148" t="s">
        <v>55</v>
      </c>
      <c r="AC2" s="148" t="s">
        <v>56</v>
      </c>
      <c r="AD2" s="150" t="s">
        <v>141</v>
      </c>
      <c r="AE2" s="150" t="s">
        <v>57</v>
      </c>
    </row>
    <row r="3" spans="1:31" s="27" customFormat="1" ht="49.5" customHeight="1">
      <c r="A3" s="5">
        <v>1</v>
      </c>
      <c r="B3" s="5" t="s">
        <v>19</v>
      </c>
      <c r="C3" s="5">
        <v>2</v>
      </c>
      <c r="D3" s="5" t="s">
        <v>679</v>
      </c>
      <c r="E3" s="5" t="s">
        <v>206</v>
      </c>
      <c r="F3" s="15" t="s">
        <v>424</v>
      </c>
      <c r="G3" s="5" t="s">
        <v>314</v>
      </c>
      <c r="H3" s="26" t="s">
        <v>894</v>
      </c>
      <c r="I3" s="48" t="s">
        <v>922</v>
      </c>
      <c r="J3" s="130">
        <v>43880</v>
      </c>
      <c r="K3" s="12" t="s">
        <v>12</v>
      </c>
      <c r="L3" s="12" t="s">
        <v>91</v>
      </c>
      <c r="M3" s="12">
        <v>2025</v>
      </c>
      <c r="N3" s="10" t="s">
        <v>58</v>
      </c>
      <c r="O3" s="10" t="s">
        <v>64</v>
      </c>
      <c r="P3" s="10">
        <v>124349.87</v>
      </c>
      <c r="Q3" s="10">
        <v>102404.78</v>
      </c>
      <c r="R3" s="10">
        <v>2560</v>
      </c>
      <c r="S3" s="10" t="s">
        <v>205</v>
      </c>
      <c r="T3" s="10" t="s">
        <v>450</v>
      </c>
      <c r="U3" s="5" t="s">
        <v>688</v>
      </c>
      <c r="V3" s="10"/>
      <c r="W3" s="10"/>
      <c r="X3" s="9"/>
      <c r="Y3" s="10"/>
      <c r="Z3" s="21"/>
      <c r="AA3" s="21"/>
      <c r="AB3" s="10"/>
      <c r="AC3" s="10"/>
      <c r="AD3" s="21">
        <f>AVERAGE(AD4:AD5)</f>
        <v>277.9890725647059</v>
      </c>
      <c r="AE3" s="21">
        <f>AVERAGE(AE4:AE5)</f>
        <v>333.7804545882353</v>
      </c>
    </row>
    <row r="4" spans="1:31" s="27" customFormat="1" ht="65.25" customHeight="1">
      <c r="A4" s="5"/>
      <c r="B4" s="5"/>
      <c r="C4" s="5"/>
      <c r="D4" s="5"/>
      <c r="E4" s="5"/>
      <c r="F4" s="15"/>
      <c r="G4" s="5"/>
      <c r="H4" s="12"/>
      <c r="I4" s="12"/>
      <c r="J4" s="12"/>
      <c r="K4" s="12"/>
      <c r="L4" s="12"/>
      <c r="M4" s="12"/>
      <c r="N4" s="10"/>
      <c r="O4" s="10"/>
      <c r="P4" s="10"/>
      <c r="Q4" s="10"/>
      <c r="R4" s="10"/>
      <c r="S4" s="10"/>
      <c r="T4" s="10"/>
      <c r="U4" s="5" t="s">
        <v>853</v>
      </c>
      <c r="V4" s="10">
        <v>9.6</v>
      </c>
      <c r="W4" s="10">
        <v>22</v>
      </c>
      <c r="X4" s="9">
        <f>(0.58+0.51+0.49+0.21+0.32)/5</f>
        <v>0.422</v>
      </c>
      <c r="Y4" s="10">
        <v>18</v>
      </c>
      <c r="Z4" s="21">
        <f>X4*V4*Y4*0.0036</f>
        <v>0.26251776</v>
      </c>
      <c r="AA4" s="21">
        <f>X4*W4*Y4*0.0036</f>
        <v>0.6016031999999999</v>
      </c>
      <c r="AB4" s="10">
        <v>30</v>
      </c>
      <c r="AC4" s="10">
        <v>12</v>
      </c>
      <c r="AD4" s="21">
        <f>Z4*AB4*AC4</f>
        <v>94.5063936</v>
      </c>
      <c r="AE4" s="21">
        <f>AA4*AB4*AC4</f>
        <v>216.57715199999996</v>
      </c>
    </row>
    <row r="5" spans="1:31" s="27" customFormat="1" ht="74.25" customHeight="1">
      <c r="A5" s="5"/>
      <c r="B5" s="5"/>
      <c r="C5" s="5"/>
      <c r="D5" s="5"/>
      <c r="E5" s="5"/>
      <c r="F5" s="15"/>
      <c r="G5" s="5"/>
      <c r="H5" s="12"/>
      <c r="I5" s="12"/>
      <c r="J5" s="12"/>
      <c r="K5" s="12"/>
      <c r="L5" s="12"/>
      <c r="M5" s="12"/>
      <c r="N5" s="10"/>
      <c r="O5" s="10"/>
      <c r="P5" s="10"/>
      <c r="Q5" s="10"/>
      <c r="R5" s="10"/>
      <c r="S5" s="10"/>
      <c r="T5" s="10"/>
      <c r="U5" s="5" t="s">
        <v>689</v>
      </c>
      <c r="V5" s="10">
        <v>44</v>
      </c>
      <c r="W5" s="10">
        <v>43</v>
      </c>
      <c r="X5" s="9">
        <f>(0+0+0.53+0.51+0.51+0.51+0.053+0.49+0.58+0.57+0.58+0.57+0.57+0.54+0.55+0.54+0.54)/17</f>
        <v>0.4495882352941176</v>
      </c>
      <c r="Y5" s="10">
        <v>18</v>
      </c>
      <c r="Z5" s="21">
        <f>X5*V5*Y5*0.0036</f>
        <v>1.2818659764705882</v>
      </c>
      <c r="AA5" s="21">
        <f>X5*W5*Y5*0.0036</f>
        <v>1.2527326588235295</v>
      </c>
      <c r="AB5" s="10">
        <v>30</v>
      </c>
      <c r="AC5" s="10">
        <v>12</v>
      </c>
      <c r="AD5" s="21">
        <f>Z5*AB5*AC5</f>
        <v>461.4717515294118</v>
      </c>
      <c r="AE5" s="21">
        <f aca="true" t="shared" si="0" ref="AE5:AE40">AA5*AB5*AC5</f>
        <v>450.9837571764706</v>
      </c>
    </row>
    <row r="6" spans="1:31" s="27" customFormat="1" ht="144.75" customHeight="1">
      <c r="A6" s="5">
        <v>2</v>
      </c>
      <c r="B6" s="5" t="s">
        <v>19</v>
      </c>
      <c r="C6" s="5">
        <v>2</v>
      </c>
      <c r="D6" s="5" t="s">
        <v>678</v>
      </c>
      <c r="E6" s="5" t="s">
        <v>207</v>
      </c>
      <c r="F6" s="15" t="s">
        <v>905</v>
      </c>
      <c r="G6" s="5" t="s">
        <v>13</v>
      </c>
      <c r="H6" s="12" t="s">
        <v>80</v>
      </c>
      <c r="I6" s="12" t="s">
        <v>80</v>
      </c>
      <c r="J6" s="12" t="s">
        <v>80</v>
      </c>
      <c r="K6" s="12" t="s">
        <v>80</v>
      </c>
      <c r="L6" s="12" t="s">
        <v>80</v>
      </c>
      <c r="M6" s="12" t="s">
        <v>80</v>
      </c>
      <c r="N6" s="10" t="s">
        <v>58</v>
      </c>
      <c r="O6" s="10" t="s">
        <v>64</v>
      </c>
      <c r="P6" s="10">
        <v>124764.72</v>
      </c>
      <c r="Q6" s="10">
        <v>102395.48</v>
      </c>
      <c r="R6" s="10">
        <v>2559</v>
      </c>
      <c r="S6" s="10" t="s">
        <v>208</v>
      </c>
      <c r="T6" s="10" t="s">
        <v>451</v>
      </c>
      <c r="U6" s="5" t="s">
        <v>800</v>
      </c>
      <c r="V6" s="85"/>
      <c r="W6" s="85"/>
      <c r="X6" s="85"/>
      <c r="Y6" s="85"/>
      <c r="Z6" s="21">
        <f>(50*13*4/1000)</f>
        <v>2.6</v>
      </c>
      <c r="AA6" s="21">
        <f>(50*13*4/1000)</f>
        <v>2.6</v>
      </c>
      <c r="AB6" s="10">
        <v>30</v>
      </c>
      <c r="AC6" s="10">
        <v>12</v>
      </c>
      <c r="AD6" s="21">
        <f aca="true" t="shared" si="1" ref="AD6:AD16">Z6*AB6*AC6</f>
        <v>936</v>
      </c>
      <c r="AE6" s="21">
        <f t="shared" si="0"/>
        <v>936</v>
      </c>
    </row>
    <row r="7" spans="1:31" s="27" customFormat="1" ht="25.5">
      <c r="A7" s="5">
        <v>3</v>
      </c>
      <c r="B7" s="5" t="s">
        <v>19</v>
      </c>
      <c r="C7" s="5">
        <v>2</v>
      </c>
      <c r="D7" s="5" t="s">
        <v>677</v>
      </c>
      <c r="E7" s="5" t="s">
        <v>627</v>
      </c>
      <c r="F7" s="15" t="s">
        <v>906</v>
      </c>
      <c r="G7" s="5" t="s">
        <v>13</v>
      </c>
      <c r="H7" s="12" t="s">
        <v>80</v>
      </c>
      <c r="I7" s="12" t="s">
        <v>80</v>
      </c>
      <c r="J7" s="12" t="s">
        <v>80</v>
      </c>
      <c r="K7" s="12" t="s">
        <v>80</v>
      </c>
      <c r="L7" s="12" t="s">
        <v>80</v>
      </c>
      <c r="M7" s="12" t="s">
        <v>80</v>
      </c>
      <c r="N7" s="10" t="s">
        <v>58</v>
      </c>
      <c r="O7" s="10" t="s">
        <v>64</v>
      </c>
      <c r="P7" s="10">
        <v>124364.64</v>
      </c>
      <c r="Q7" s="10">
        <v>102571.24</v>
      </c>
      <c r="R7" s="10">
        <v>2567</v>
      </c>
      <c r="S7" s="10" t="s">
        <v>209</v>
      </c>
      <c r="T7" s="10" t="s">
        <v>452</v>
      </c>
      <c r="U7" s="5" t="s">
        <v>688</v>
      </c>
      <c r="V7" s="10"/>
      <c r="W7" s="10"/>
      <c r="X7" s="10"/>
      <c r="Y7" s="10"/>
      <c r="Z7" s="9"/>
      <c r="AA7" s="9"/>
      <c r="AB7" s="10"/>
      <c r="AC7" s="10"/>
      <c r="AD7" s="21">
        <f>AVERAGE(AD8:AD9)</f>
        <v>237.15313411764703</v>
      </c>
      <c r="AE7" s="21">
        <f>AVERAGE(AE8:AE9)</f>
        <v>80.3100705882353</v>
      </c>
    </row>
    <row r="8" spans="1:31" s="27" customFormat="1" ht="44.25" customHeight="1">
      <c r="A8" s="5"/>
      <c r="B8" s="5"/>
      <c r="C8" s="5"/>
      <c r="D8" s="5"/>
      <c r="E8" s="5"/>
      <c r="F8" s="15"/>
      <c r="G8" s="5"/>
      <c r="H8" s="12"/>
      <c r="I8" s="12"/>
      <c r="J8" s="12"/>
      <c r="K8" s="12"/>
      <c r="L8" s="12"/>
      <c r="M8" s="12"/>
      <c r="N8" s="10"/>
      <c r="O8" s="10"/>
      <c r="P8" s="10"/>
      <c r="Q8" s="10"/>
      <c r="R8" s="10"/>
      <c r="S8" s="10"/>
      <c r="T8" s="10"/>
      <c r="U8" s="5" t="s">
        <v>854</v>
      </c>
      <c r="V8" s="10">
        <v>29.7</v>
      </c>
      <c r="W8" s="10">
        <v>11</v>
      </c>
      <c r="X8" s="9">
        <f>(0.36+0.38+0.38+0.47+0.66)/5</f>
        <v>0.45</v>
      </c>
      <c r="Y8" s="10">
        <v>18</v>
      </c>
      <c r="Z8" s="9">
        <f>X8*V8*Y8*0.0036</f>
        <v>0.8660519999999999</v>
      </c>
      <c r="AA8" s="9">
        <f>X8*W8*Y8*0.0036</f>
        <v>0.32076000000000005</v>
      </c>
      <c r="AB8" s="10">
        <v>30</v>
      </c>
      <c r="AC8" s="10">
        <v>12</v>
      </c>
      <c r="AD8" s="21">
        <f>Z8*AB8*AC8</f>
        <v>311.77871999999996</v>
      </c>
      <c r="AE8" s="21">
        <f>AA8*AB8*AC8</f>
        <v>115.47360000000002</v>
      </c>
    </row>
    <row r="9" spans="1:31" s="27" customFormat="1" ht="64.5" customHeight="1">
      <c r="A9" s="5"/>
      <c r="B9" s="5"/>
      <c r="C9" s="5"/>
      <c r="D9" s="5"/>
      <c r="E9" s="5"/>
      <c r="F9" s="15"/>
      <c r="G9" s="5"/>
      <c r="H9" s="12"/>
      <c r="I9" s="12"/>
      <c r="J9" s="12"/>
      <c r="K9" s="12"/>
      <c r="L9" s="12"/>
      <c r="M9" s="12"/>
      <c r="N9" s="10"/>
      <c r="O9" s="10"/>
      <c r="P9" s="10"/>
      <c r="Q9" s="10"/>
      <c r="R9" s="10"/>
      <c r="S9" s="10"/>
      <c r="T9" s="10"/>
      <c r="U9" s="5" t="s">
        <v>687</v>
      </c>
      <c r="V9" s="10">
        <v>18</v>
      </c>
      <c r="W9" s="10">
        <v>5</v>
      </c>
      <c r="X9" s="9">
        <f>(0.4+0.46+0.4+0.4+0.34+0.46+0.42+0.36+0.42+0.38+0.35+0.38+0.4+0.37+0.34+0.33+0.37)/17</f>
        <v>0.3870588235294118</v>
      </c>
      <c r="Y9" s="10">
        <v>18</v>
      </c>
      <c r="Z9" s="9">
        <f>X9*V9*Y9*0.0036</f>
        <v>0.4514654117647059</v>
      </c>
      <c r="AA9" s="9">
        <f>X9*W9*Y9*0.0036</f>
        <v>0.12540705882352943</v>
      </c>
      <c r="AB9" s="10">
        <v>30</v>
      </c>
      <c r="AC9" s="10">
        <v>12</v>
      </c>
      <c r="AD9" s="21">
        <f t="shared" si="1"/>
        <v>162.52754823529412</v>
      </c>
      <c r="AE9" s="21">
        <f t="shared" si="0"/>
        <v>45.14654117647059</v>
      </c>
    </row>
    <row r="10" spans="1:31" s="27" customFormat="1" ht="81" customHeight="1">
      <c r="A10" s="5">
        <v>4</v>
      </c>
      <c r="B10" s="5" t="s">
        <v>19</v>
      </c>
      <c r="C10" s="5">
        <v>2</v>
      </c>
      <c r="D10" s="5" t="s">
        <v>676</v>
      </c>
      <c r="E10" s="5" t="s">
        <v>210</v>
      </c>
      <c r="F10" s="15" t="s">
        <v>425</v>
      </c>
      <c r="G10" s="5" t="s">
        <v>904</v>
      </c>
      <c r="H10" s="26" t="s">
        <v>923</v>
      </c>
      <c r="I10" s="48" t="s">
        <v>924</v>
      </c>
      <c r="J10" s="131" t="s">
        <v>925</v>
      </c>
      <c r="K10" s="130" t="s">
        <v>926</v>
      </c>
      <c r="L10" s="12" t="s">
        <v>91</v>
      </c>
      <c r="M10" s="131">
        <v>45060</v>
      </c>
      <c r="N10" s="10" t="s">
        <v>58</v>
      </c>
      <c r="O10" s="10" t="s">
        <v>64</v>
      </c>
      <c r="P10" s="10">
        <v>124381.19</v>
      </c>
      <c r="Q10" s="10">
        <v>102253.12</v>
      </c>
      <c r="R10" s="10">
        <v>2559</v>
      </c>
      <c r="S10" s="10" t="s">
        <v>211</v>
      </c>
      <c r="T10" s="10" t="s">
        <v>453</v>
      </c>
      <c r="U10" s="5" t="s">
        <v>802</v>
      </c>
      <c r="V10" s="10">
        <v>6</v>
      </c>
      <c r="W10" s="10">
        <v>5</v>
      </c>
      <c r="X10" s="9">
        <v>0.027</v>
      </c>
      <c r="Y10" s="10">
        <v>18</v>
      </c>
      <c r="Z10" s="9">
        <f>X10*V10*Y10*0.0036</f>
        <v>0.0104976</v>
      </c>
      <c r="AA10" s="9">
        <f>X10*W10*Y10*0.0036</f>
        <v>0.008748</v>
      </c>
      <c r="AB10" s="10">
        <v>30</v>
      </c>
      <c r="AC10" s="10">
        <v>12</v>
      </c>
      <c r="AD10" s="21">
        <f t="shared" si="1"/>
        <v>3.779136</v>
      </c>
      <c r="AE10" s="21">
        <f t="shared" si="0"/>
        <v>3.14928</v>
      </c>
    </row>
    <row r="11" spans="1:31" s="27" customFormat="1" ht="78.75" customHeight="1">
      <c r="A11" s="5">
        <v>5</v>
      </c>
      <c r="B11" s="5" t="s">
        <v>19</v>
      </c>
      <c r="C11" s="5">
        <v>2</v>
      </c>
      <c r="D11" s="5" t="s">
        <v>675</v>
      </c>
      <c r="E11" s="5" t="s">
        <v>212</v>
      </c>
      <c r="F11" s="5" t="s">
        <v>426</v>
      </c>
      <c r="G11" s="5" t="s">
        <v>904</v>
      </c>
      <c r="H11" s="26" t="s">
        <v>927</v>
      </c>
      <c r="I11" s="48">
        <v>43208</v>
      </c>
      <c r="J11" s="131" t="s">
        <v>928</v>
      </c>
      <c r="K11" s="132">
        <v>43290</v>
      </c>
      <c r="L11" s="12" t="s">
        <v>91</v>
      </c>
      <c r="M11" s="133">
        <v>45115</v>
      </c>
      <c r="N11" s="10" t="s">
        <v>58</v>
      </c>
      <c r="O11" s="10" t="s">
        <v>64</v>
      </c>
      <c r="P11" s="10">
        <v>124349.87</v>
      </c>
      <c r="Q11" s="10">
        <v>102404.78</v>
      </c>
      <c r="R11" s="10">
        <v>2560</v>
      </c>
      <c r="S11" s="10" t="s">
        <v>205</v>
      </c>
      <c r="T11" s="10" t="s">
        <v>454</v>
      </c>
      <c r="U11" s="5" t="s">
        <v>690</v>
      </c>
      <c r="V11" s="10">
        <v>20</v>
      </c>
      <c r="W11" s="10">
        <v>13</v>
      </c>
      <c r="X11" s="9">
        <v>0.168</v>
      </c>
      <c r="Y11" s="10">
        <v>18</v>
      </c>
      <c r="Z11" s="9">
        <f>X11*V11*Y11*0.0036</f>
        <v>0.217728</v>
      </c>
      <c r="AA11" s="9">
        <f>X11*W11*Y11*0.0036</f>
        <v>0.14152320000000002</v>
      </c>
      <c r="AB11" s="10">
        <v>30</v>
      </c>
      <c r="AC11" s="10">
        <v>12</v>
      </c>
      <c r="AD11" s="21">
        <f t="shared" si="1"/>
        <v>78.38208</v>
      </c>
      <c r="AE11" s="21">
        <f t="shared" si="0"/>
        <v>50.94835200000001</v>
      </c>
    </row>
    <row r="12" spans="1:31" s="27" customFormat="1" ht="63" customHeight="1">
      <c r="A12" s="5">
        <v>6</v>
      </c>
      <c r="B12" s="5" t="s">
        <v>19</v>
      </c>
      <c r="C12" s="5">
        <v>2</v>
      </c>
      <c r="D12" s="5" t="s">
        <v>674</v>
      </c>
      <c r="E12" s="5" t="s">
        <v>626</v>
      </c>
      <c r="F12" s="5" t="s">
        <v>427</v>
      </c>
      <c r="G12" s="5" t="s">
        <v>904</v>
      </c>
      <c r="H12" s="26" t="s">
        <v>929</v>
      </c>
      <c r="I12" s="12" t="s">
        <v>930</v>
      </c>
      <c r="J12" s="131" t="s">
        <v>931</v>
      </c>
      <c r="K12" s="134" t="s">
        <v>932</v>
      </c>
      <c r="L12" s="12" t="s">
        <v>91</v>
      </c>
      <c r="M12" s="133">
        <v>44993</v>
      </c>
      <c r="N12" s="10" t="s">
        <v>58</v>
      </c>
      <c r="O12" s="10" t="s">
        <v>64</v>
      </c>
      <c r="P12" s="10">
        <v>124104.03</v>
      </c>
      <c r="Q12" s="10">
        <v>102406.67</v>
      </c>
      <c r="R12" s="10">
        <v>2559</v>
      </c>
      <c r="S12" s="10" t="s">
        <v>213</v>
      </c>
      <c r="T12" s="10" t="s">
        <v>455</v>
      </c>
      <c r="U12" s="5" t="s">
        <v>688</v>
      </c>
      <c r="V12" s="10"/>
      <c r="W12" s="10"/>
      <c r="X12" s="10"/>
      <c r="Y12" s="10"/>
      <c r="Z12" s="9"/>
      <c r="AA12" s="9"/>
      <c r="AB12" s="10"/>
      <c r="AC12" s="10"/>
      <c r="AD12" s="21">
        <f>AVERAGE(AD13:AD14)</f>
        <v>355.77532799999994</v>
      </c>
      <c r="AE12" s="21">
        <f>AVERAGE(AE13:AE14)</f>
        <v>215.10748799999993</v>
      </c>
    </row>
    <row r="13" spans="1:31" s="27" customFormat="1" ht="97.5" customHeight="1">
      <c r="A13" s="5"/>
      <c r="B13" s="5"/>
      <c r="C13" s="5"/>
      <c r="D13" s="5"/>
      <c r="E13" s="5"/>
      <c r="F13" s="5"/>
      <c r="G13" s="5"/>
      <c r="H13" s="12"/>
      <c r="I13" s="12"/>
      <c r="J13" s="48"/>
      <c r="K13" s="12"/>
      <c r="L13" s="12"/>
      <c r="M13" s="12"/>
      <c r="N13" s="10"/>
      <c r="O13" s="10"/>
      <c r="P13" s="10"/>
      <c r="Q13" s="10"/>
      <c r="R13" s="10"/>
      <c r="S13" s="10"/>
      <c r="T13" s="10"/>
      <c r="U13" s="5" t="s">
        <v>855</v>
      </c>
      <c r="V13" s="10">
        <v>61</v>
      </c>
      <c r="W13" s="10">
        <v>56</v>
      </c>
      <c r="X13" s="10">
        <f>(0.22+0.72+0.13+0.2+0.09)/5</f>
        <v>0.27199999999999996</v>
      </c>
      <c r="Y13" s="10">
        <v>18</v>
      </c>
      <c r="Z13" s="9">
        <f>X13*V13*Y13*0.0036</f>
        <v>1.0751615999999997</v>
      </c>
      <c r="AA13" s="9">
        <f>X13*W13*Y13*0.0036</f>
        <v>0.9870335999999997</v>
      </c>
      <c r="AB13" s="10">
        <v>30</v>
      </c>
      <c r="AC13" s="10">
        <v>12</v>
      </c>
      <c r="AD13" s="21">
        <f>Z13*AB13*AC13</f>
        <v>387.0581759999999</v>
      </c>
      <c r="AE13" s="21">
        <f>AA13*AB13*AC13</f>
        <v>355.33209599999986</v>
      </c>
    </row>
    <row r="14" spans="1:31" s="27" customFormat="1" ht="97.5" customHeight="1">
      <c r="A14" s="5"/>
      <c r="B14" s="5"/>
      <c r="C14" s="5"/>
      <c r="D14" s="5"/>
      <c r="E14" s="5"/>
      <c r="F14" s="5"/>
      <c r="G14" s="5"/>
      <c r="H14" s="12"/>
      <c r="I14" s="12"/>
      <c r="J14" s="48"/>
      <c r="K14" s="12"/>
      <c r="L14" s="12"/>
      <c r="M14" s="12"/>
      <c r="N14" s="10"/>
      <c r="O14" s="10"/>
      <c r="P14" s="10"/>
      <c r="Q14" s="10"/>
      <c r="R14" s="10"/>
      <c r="S14" s="10"/>
      <c r="T14" s="10"/>
      <c r="U14" s="5" t="s">
        <v>691</v>
      </c>
      <c r="V14" s="10">
        <v>65</v>
      </c>
      <c r="W14" s="10">
        <v>15</v>
      </c>
      <c r="X14" s="10">
        <v>0.214</v>
      </c>
      <c r="Y14" s="10">
        <v>18</v>
      </c>
      <c r="Z14" s="9">
        <f>X14*V14*Y14*0.0036</f>
        <v>0.901368</v>
      </c>
      <c r="AA14" s="9">
        <f>X14*W14*Y14*0.0036</f>
        <v>0.208008</v>
      </c>
      <c r="AB14" s="10">
        <v>30</v>
      </c>
      <c r="AC14" s="10">
        <v>12</v>
      </c>
      <c r="AD14" s="21">
        <f>Z14*AB14*AC14</f>
        <v>324.49248</v>
      </c>
      <c r="AE14" s="21">
        <f t="shared" si="0"/>
        <v>74.88288</v>
      </c>
    </row>
    <row r="15" spans="1:31" s="27" customFormat="1" ht="75" customHeight="1">
      <c r="A15" s="10">
        <v>7</v>
      </c>
      <c r="B15" s="5" t="s">
        <v>19</v>
      </c>
      <c r="C15" s="5">
        <v>2</v>
      </c>
      <c r="D15" s="76" t="s">
        <v>673</v>
      </c>
      <c r="E15" s="5" t="s">
        <v>365</v>
      </c>
      <c r="F15" s="5" t="s">
        <v>325</v>
      </c>
      <c r="G15" s="5" t="s">
        <v>904</v>
      </c>
      <c r="H15" s="5" t="s">
        <v>933</v>
      </c>
      <c r="I15" s="13">
        <v>43095</v>
      </c>
      <c r="J15" s="51">
        <v>43224</v>
      </c>
      <c r="K15" s="51">
        <v>43242</v>
      </c>
      <c r="L15" s="10" t="s">
        <v>91</v>
      </c>
      <c r="M15" s="48">
        <v>45067</v>
      </c>
      <c r="N15" s="10" t="s">
        <v>304</v>
      </c>
      <c r="O15" s="10" t="s">
        <v>64</v>
      </c>
      <c r="P15" s="7">
        <v>124589.971</v>
      </c>
      <c r="Q15" s="7">
        <v>102388.37</v>
      </c>
      <c r="R15" s="10">
        <v>2559</v>
      </c>
      <c r="S15" s="5" t="s">
        <v>381</v>
      </c>
      <c r="T15" s="5" t="s">
        <v>549</v>
      </c>
      <c r="U15" s="5" t="s">
        <v>692</v>
      </c>
      <c r="V15" s="10">
        <v>16</v>
      </c>
      <c r="W15" s="97">
        <v>21</v>
      </c>
      <c r="X15" s="97">
        <v>0.198</v>
      </c>
      <c r="Y15" s="97">
        <v>18</v>
      </c>
      <c r="Z15" s="9">
        <f>X15*V15*Y15*0.0036</f>
        <v>0.2052864</v>
      </c>
      <c r="AA15" s="9">
        <f>X15*W15*Y15*0.0036</f>
        <v>0.2694384</v>
      </c>
      <c r="AB15" s="97">
        <v>30</v>
      </c>
      <c r="AC15" s="97">
        <v>12</v>
      </c>
      <c r="AD15" s="67">
        <f t="shared" si="1"/>
        <v>73.90310400000001</v>
      </c>
      <c r="AE15" s="67">
        <f t="shared" si="0"/>
        <v>96.99782400000001</v>
      </c>
    </row>
    <row r="16" spans="1:31" s="27" customFormat="1" ht="99.75" customHeight="1">
      <c r="A16" s="5">
        <v>8</v>
      </c>
      <c r="B16" s="5" t="s">
        <v>19</v>
      </c>
      <c r="C16" s="5">
        <v>2</v>
      </c>
      <c r="D16" s="5" t="s">
        <v>153</v>
      </c>
      <c r="E16" s="5" t="s">
        <v>214</v>
      </c>
      <c r="F16" s="5" t="s">
        <v>867</v>
      </c>
      <c r="G16" s="5" t="s">
        <v>13</v>
      </c>
      <c r="H16" s="12" t="s">
        <v>80</v>
      </c>
      <c r="I16" s="12" t="s">
        <v>80</v>
      </c>
      <c r="J16" s="12" t="s">
        <v>80</v>
      </c>
      <c r="K16" s="12" t="s">
        <v>80</v>
      </c>
      <c r="L16" s="12" t="s">
        <v>80</v>
      </c>
      <c r="M16" s="12" t="s">
        <v>80</v>
      </c>
      <c r="N16" s="5" t="s">
        <v>58</v>
      </c>
      <c r="O16" s="10" t="s">
        <v>64</v>
      </c>
      <c r="P16" s="10">
        <v>120007.95</v>
      </c>
      <c r="Q16" s="10" t="s">
        <v>154</v>
      </c>
      <c r="R16" s="5">
        <v>2555</v>
      </c>
      <c r="S16" s="5" t="s">
        <v>215</v>
      </c>
      <c r="T16" s="5" t="s">
        <v>456</v>
      </c>
      <c r="U16" s="5" t="s">
        <v>808</v>
      </c>
      <c r="V16" s="10">
        <v>23</v>
      </c>
      <c r="W16" s="10">
        <v>12</v>
      </c>
      <c r="X16" s="10">
        <f>(0.22+0.3+0.96+5.41+0.04)/5</f>
        <v>1.3860000000000001</v>
      </c>
      <c r="Y16" s="10">
        <v>8</v>
      </c>
      <c r="Z16" s="9">
        <f>X16*V16*Y16*0.0036</f>
        <v>0.9180864000000001</v>
      </c>
      <c r="AA16" s="9">
        <f>X16*W16*Y16*0.0036</f>
        <v>0.4790016</v>
      </c>
      <c r="AB16" s="10">
        <v>22</v>
      </c>
      <c r="AC16" s="10">
        <v>12</v>
      </c>
      <c r="AD16" s="21">
        <f t="shared" si="1"/>
        <v>242.37480960000005</v>
      </c>
      <c r="AE16" s="21">
        <f t="shared" si="0"/>
        <v>126.45642240000001</v>
      </c>
    </row>
    <row r="17" spans="1:31" s="27" customFormat="1" ht="83.25" customHeight="1">
      <c r="A17" s="5">
        <v>9</v>
      </c>
      <c r="B17" s="5" t="s">
        <v>19</v>
      </c>
      <c r="C17" s="5">
        <v>2</v>
      </c>
      <c r="D17" s="5" t="s">
        <v>155</v>
      </c>
      <c r="E17" s="5" t="s">
        <v>216</v>
      </c>
      <c r="F17" s="5" t="s">
        <v>858</v>
      </c>
      <c r="G17" s="5" t="s">
        <v>13</v>
      </c>
      <c r="H17" s="12" t="s">
        <v>80</v>
      </c>
      <c r="I17" s="12" t="s">
        <v>80</v>
      </c>
      <c r="J17" s="12" t="s">
        <v>80</v>
      </c>
      <c r="K17" s="12" t="s">
        <v>80</v>
      </c>
      <c r="L17" s="12" t="s">
        <v>80</v>
      </c>
      <c r="M17" s="12" t="s">
        <v>80</v>
      </c>
      <c r="N17" s="10" t="s">
        <v>58</v>
      </c>
      <c r="O17" s="10" t="s">
        <v>64</v>
      </c>
      <c r="P17" s="10">
        <v>118648.28</v>
      </c>
      <c r="Q17" s="10">
        <v>102118.53</v>
      </c>
      <c r="R17" s="5">
        <v>2561</v>
      </c>
      <c r="S17" s="5" t="s">
        <v>217</v>
      </c>
      <c r="T17" s="5" t="s">
        <v>457</v>
      </c>
      <c r="U17" s="5" t="s">
        <v>693</v>
      </c>
      <c r="V17" s="10">
        <v>51</v>
      </c>
      <c r="W17" s="10">
        <v>28</v>
      </c>
      <c r="X17" s="10">
        <v>0.148</v>
      </c>
      <c r="Y17" s="10">
        <v>18</v>
      </c>
      <c r="Z17" s="9">
        <f>X17*V17*Y17*0.0036</f>
        <v>0.4891104</v>
      </c>
      <c r="AA17" s="9">
        <f>X17*W17*Y17*0.0036</f>
        <v>0.26853119999999997</v>
      </c>
      <c r="AB17" s="10">
        <v>30</v>
      </c>
      <c r="AC17" s="10">
        <v>12</v>
      </c>
      <c r="AD17" s="21">
        <f>Z17*AB17*AC17</f>
        <v>176.079744</v>
      </c>
      <c r="AE17" s="21">
        <f>AA17*AB17*AC17</f>
        <v>96.67123199999999</v>
      </c>
    </row>
    <row r="18" spans="1:31" s="27" customFormat="1" ht="62.25" customHeight="1">
      <c r="A18" s="5">
        <v>10</v>
      </c>
      <c r="B18" s="5" t="s">
        <v>19</v>
      </c>
      <c r="C18" s="5">
        <v>2</v>
      </c>
      <c r="D18" s="5" t="s">
        <v>156</v>
      </c>
      <c r="E18" s="5" t="s">
        <v>628</v>
      </c>
      <c r="F18" s="5" t="s">
        <v>672</v>
      </c>
      <c r="G18" s="5" t="s">
        <v>13</v>
      </c>
      <c r="H18" s="12" t="s">
        <v>80</v>
      </c>
      <c r="I18" s="12" t="s">
        <v>80</v>
      </c>
      <c r="J18" s="12" t="s">
        <v>80</v>
      </c>
      <c r="K18" s="12" t="s">
        <v>80</v>
      </c>
      <c r="L18" s="12" t="s">
        <v>80</v>
      </c>
      <c r="M18" s="12" t="s">
        <v>80</v>
      </c>
      <c r="N18" s="10" t="s">
        <v>58</v>
      </c>
      <c r="O18" s="10" t="s">
        <v>64</v>
      </c>
      <c r="P18" s="10">
        <v>124490.23</v>
      </c>
      <c r="Q18" s="10">
        <v>104049.02</v>
      </c>
      <c r="R18" s="10">
        <v>2552</v>
      </c>
      <c r="S18" s="10" t="s">
        <v>218</v>
      </c>
      <c r="T18" s="10" t="s">
        <v>458</v>
      </c>
      <c r="U18" s="5" t="s">
        <v>716</v>
      </c>
      <c r="V18" s="10">
        <v>17</v>
      </c>
      <c r="W18" s="10">
        <v>8</v>
      </c>
      <c r="X18" s="10">
        <v>0.168</v>
      </c>
      <c r="Y18" s="10">
        <v>18</v>
      </c>
      <c r="Z18" s="7">
        <f aca="true" t="shared" si="2" ref="Z18:Z40">X18*V18*Y18*0.0036</f>
        <v>0.18506880000000003</v>
      </c>
      <c r="AA18" s="7">
        <f aca="true" t="shared" si="3" ref="AA18:AA40">X18*W18*Y18*0.0036</f>
        <v>0.0870912</v>
      </c>
      <c r="AB18" s="10">
        <v>30</v>
      </c>
      <c r="AC18" s="10">
        <v>12</v>
      </c>
      <c r="AD18" s="21">
        <f>Z18*AB18*AC18</f>
        <v>66.62476800000002</v>
      </c>
      <c r="AE18" s="21">
        <f t="shared" si="0"/>
        <v>31.352832</v>
      </c>
    </row>
    <row r="19" spans="1:31" s="27" customFormat="1" ht="144" customHeight="1">
      <c r="A19" s="5">
        <v>11</v>
      </c>
      <c r="B19" s="5" t="s">
        <v>19</v>
      </c>
      <c r="C19" s="5">
        <v>2</v>
      </c>
      <c r="D19" s="5" t="s">
        <v>157</v>
      </c>
      <c r="E19" s="5" t="s">
        <v>219</v>
      </c>
      <c r="F19" s="5" t="s">
        <v>670</v>
      </c>
      <c r="G19" s="5" t="s">
        <v>13</v>
      </c>
      <c r="H19" s="12" t="s">
        <v>80</v>
      </c>
      <c r="I19" s="12" t="s">
        <v>80</v>
      </c>
      <c r="J19" s="12" t="s">
        <v>80</v>
      </c>
      <c r="K19" s="12" t="s">
        <v>80</v>
      </c>
      <c r="L19" s="12" t="s">
        <v>80</v>
      </c>
      <c r="M19" s="12" t="s">
        <v>80</v>
      </c>
      <c r="N19" s="10" t="s">
        <v>58</v>
      </c>
      <c r="O19" s="10" t="s">
        <v>64</v>
      </c>
      <c r="P19" s="10">
        <v>125064.09</v>
      </c>
      <c r="Q19" s="10">
        <v>102881.25</v>
      </c>
      <c r="R19" s="5">
        <v>2558</v>
      </c>
      <c r="S19" s="5" t="s">
        <v>158</v>
      </c>
      <c r="T19" s="5" t="s">
        <v>459</v>
      </c>
      <c r="U19" s="5" t="s">
        <v>694</v>
      </c>
      <c r="V19" s="10"/>
      <c r="W19" s="10"/>
      <c r="X19" s="61"/>
      <c r="Y19" s="10"/>
      <c r="Z19" s="7">
        <f>((50*21*4)/1000)</f>
        <v>4.2</v>
      </c>
      <c r="AA19" s="7">
        <f>(50*21*4/1000)</f>
        <v>4.2</v>
      </c>
      <c r="AB19" s="10">
        <v>30</v>
      </c>
      <c r="AC19" s="10">
        <v>12</v>
      </c>
      <c r="AD19" s="21">
        <f>Z19*AB19*AC19</f>
        <v>1512</v>
      </c>
      <c r="AE19" s="21">
        <f t="shared" si="0"/>
        <v>1512</v>
      </c>
    </row>
    <row r="20" spans="1:31" s="27" customFormat="1" ht="54.75" customHeight="1">
      <c r="A20" s="11">
        <v>12</v>
      </c>
      <c r="B20" s="11" t="s">
        <v>19</v>
      </c>
      <c r="C20" s="11">
        <v>2</v>
      </c>
      <c r="D20" s="11" t="s">
        <v>696</v>
      </c>
      <c r="E20" s="14" t="s">
        <v>220</v>
      </c>
      <c r="F20" s="14" t="s">
        <v>671</v>
      </c>
      <c r="G20" s="5" t="s">
        <v>314</v>
      </c>
      <c r="H20" s="5" t="s">
        <v>895</v>
      </c>
      <c r="I20" s="48" t="s">
        <v>934</v>
      </c>
      <c r="J20" s="48" t="s">
        <v>935</v>
      </c>
      <c r="K20" s="48" t="s">
        <v>936</v>
      </c>
      <c r="L20" s="12" t="s">
        <v>91</v>
      </c>
      <c r="M20" s="131">
        <v>44944</v>
      </c>
      <c r="N20" s="14" t="s">
        <v>58</v>
      </c>
      <c r="O20" s="10" t="s">
        <v>64</v>
      </c>
      <c r="P20" s="54">
        <v>124475.39</v>
      </c>
      <c r="Q20" s="54">
        <v>103499.7</v>
      </c>
      <c r="R20" s="14">
        <v>2556</v>
      </c>
      <c r="S20" s="11" t="s">
        <v>221</v>
      </c>
      <c r="T20" s="11" t="s">
        <v>460</v>
      </c>
      <c r="U20" s="11" t="s">
        <v>695</v>
      </c>
      <c r="V20" s="14">
        <v>24</v>
      </c>
      <c r="W20" s="14">
        <v>12</v>
      </c>
      <c r="X20" s="63">
        <f>((0.163+0.149+0.152+0.156+0.156+0.163+0.146+0.147+0.142+0.143+0.14+0.151+0.143+0.141+0.163+0.14+0.16)/17)</f>
        <v>0.15029411764705883</v>
      </c>
      <c r="Y20" s="14">
        <v>18</v>
      </c>
      <c r="Z20" s="9">
        <f t="shared" si="2"/>
        <v>0.23373741176470592</v>
      </c>
      <c r="AA20" s="9">
        <f t="shared" si="3"/>
        <v>0.11686870588235296</v>
      </c>
      <c r="AB20" s="10">
        <v>30</v>
      </c>
      <c r="AC20" s="10">
        <v>12</v>
      </c>
      <c r="AD20" s="21">
        <f aca="true" t="shared" si="4" ref="AD20:AD40">Z20*AB20*AC20</f>
        <v>84.14546823529413</v>
      </c>
      <c r="AE20" s="21">
        <f t="shared" si="0"/>
        <v>42.072734117647066</v>
      </c>
    </row>
    <row r="21" spans="1:31" s="27" customFormat="1" ht="93" customHeight="1">
      <c r="A21" s="5">
        <v>13</v>
      </c>
      <c r="B21" s="5" t="s">
        <v>19</v>
      </c>
      <c r="C21" s="5">
        <v>2</v>
      </c>
      <c r="D21" s="5" t="s">
        <v>159</v>
      </c>
      <c r="E21" s="5" t="s">
        <v>222</v>
      </c>
      <c r="F21" s="5" t="s">
        <v>160</v>
      </c>
      <c r="G21" s="5" t="s">
        <v>904</v>
      </c>
      <c r="H21" s="5">
        <v>5298</v>
      </c>
      <c r="I21" s="8">
        <v>40800</v>
      </c>
      <c r="J21" s="8">
        <v>40822</v>
      </c>
      <c r="K21" s="8">
        <v>40830</v>
      </c>
      <c r="L21" s="5" t="s">
        <v>18</v>
      </c>
      <c r="M21" s="8">
        <v>44482</v>
      </c>
      <c r="N21" s="5" t="s">
        <v>58</v>
      </c>
      <c r="O21" s="10" t="s">
        <v>64</v>
      </c>
      <c r="P21" s="54">
        <v>124613.58</v>
      </c>
      <c r="Q21" s="54">
        <v>102826.14</v>
      </c>
      <c r="R21" s="5">
        <v>2560</v>
      </c>
      <c r="S21" s="5" t="s">
        <v>161</v>
      </c>
      <c r="T21" s="5" t="s">
        <v>461</v>
      </c>
      <c r="U21" s="5" t="s">
        <v>697</v>
      </c>
      <c r="V21" s="5">
        <v>40</v>
      </c>
      <c r="W21" s="5">
        <v>20</v>
      </c>
      <c r="X21" s="62">
        <f>((0.497+0.765+1.19+0.814+0+0.773+0.842+0.984+1.004)/9)</f>
        <v>0.7632222222222222</v>
      </c>
      <c r="Y21" s="5">
        <v>18</v>
      </c>
      <c r="Z21" s="9">
        <f t="shared" si="2"/>
        <v>1.9782719999999998</v>
      </c>
      <c r="AA21" s="9">
        <f t="shared" si="3"/>
        <v>0.9891359999999999</v>
      </c>
      <c r="AB21" s="5">
        <v>30</v>
      </c>
      <c r="AC21" s="5">
        <v>12</v>
      </c>
      <c r="AD21" s="21">
        <f t="shared" si="4"/>
        <v>712.1779199999999</v>
      </c>
      <c r="AE21" s="21">
        <f t="shared" si="0"/>
        <v>356.08895999999993</v>
      </c>
    </row>
    <row r="22" spans="1:31" s="27" customFormat="1" ht="91.5" customHeight="1">
      <c r="A22" s="5">
        <v>14</v>
      </c>
      <c r="B22" s="5" t="s">
        <v>19</v>
      </c>
      <c r="C22" s="5">
        <v>2</v>
      </c>
      <c r="D22" s="5" t="s">
        <v>162</v>
      </c>
      <c r="E22" s="5" t="s">
        <v>442</v>
      </c>
      <c r="F22" s="5" t="s">
        <v>163</v>
      </c>
      <c r="G22" s="5" t="s">
        <v>904</v>
      </c>
      <c r="H22" s="5">
        <v>5299</v>
      </c>
      <c r="I22" s="8">
        <v>40800</v>
      </c>
      <c r="J22" s="8">
        <v>40812</v>
      </c>
      <c r="K22" s="8">
        <v>40820</v>
      </c>
      <c r="L22" s="5" t="s">
        <v>18</v>
      </c>
      <c r="M22" s="8">
        <v>44472</v>
      </c>
      <c r="N22" s="10" t="s">
        <v>58</v>
      </c>
      <c r="O22" s="10" t="s">
        <v>64</v>
      </c>
      <c r="P22" s="10">
        <v>124707.68</v>
      </c>
      <c r="Q22" s="10">
        <v>103290.67</v>
      </c>
      <c r="R22" s="10">
        <v>2557</v>
      </c>
      <c r="S22" s="10" t="s">
        <v>223</v>
      </c>
      <c r="T22" s="10" t="s">
        <v>462</v>
      </c>
      <c r="U22" s="5" t="s">
        <v>715</v>
      </c>
      <c r="V22" s="10">
        <v>23</v>
      </c>
      <c r="W22" s="10">
        <v>2</v>
      </c>
      <c r="X22" s="9">
        <f>(0.2+0.2+0.16+0.14+0.16+0.2+0.2+0.16+0.16+0.2+0.16+0.2+0.2+0.14+0.125+0.2+0.2)/17</f>
        <v>0.17676470588235296</v>
      </c>
      <c r="Y22" s="10">
        <v>18</v>
      </c>
      <c r="Z22" s="9">
        <f t="shared" si="2"/>
        <v>0.26345011764705883</v>
      </c>
      <c r="AA22" s="9">
        <f t="shared" si="3"/>
        <v>0.022908705882352942</v>
      </c>
      <c r="AB22" s="10">
        <v>30</v>
      </c>
      <c r="AC22" s="10">
        <v>12</v>
      </c>
      <c r="AD22" s="21">
        <f t="shared" si="4"/>
        <v>94.84204235294118</v>
      </c>
      <c r="AE22" s="21">
        <f t="shared" si="0"/>
        <v>8.24713411764706</v>
      </c>
    </row>
    <row r="23" spans="1:31" s="27" customFormat="1" ht="55.5" customHeight="1">
      <c r="A23" s="144">
        <v>15</v>
      </c>
      <c r="B23" s="135" t="s">
        <v>19</v>
      </c>
      <c r="C23" s="135">
        <v>2</v>
      </c>
      <c r="D23" s="144" t="s">
        <v>669</v>
      </c>
      <c r="E23" s="144" t="s">
        <v>224</v>
      </c>
      <c r="F23" s="144" t="s">
        <v>831</v>
      </c>
      <c r="G23" s="144" t="s">
        <v>13</v>
      </c>
      <c r="H23" s="143" t="s">
        <v>80</v>
      </c>
      <c r="I23" s="143" t="s">
        <v>80</v>
      </c>
      <c r="J23" s="143" t="s">
        <v>80</v>
      </c>
      <c r="K23" s="143" t="s">
        <v>80</v>
      </c>
      <c r="L23" s="143" t="s">
        <v>80</v>
      </c>
      <c r="M23" s="143" t="s">
        <v>80</v>
      </c>
      <c r="N23" s="137" t="s">
        <v>58</v>
      </c>
      <c r="O23" s="11" t="s">
        <v>383</v>
      </c>
      <c r="P23" s="14">
        <v>1019508</v>
      </c>
      <c r="Q23" s="14">
        <v>1003472</v>
      </c>
      <c r="R23" s="11">
        <v>2561</v>
      </c>
      <c r="S23" s="11" t="s">
        <v>225</v>
      </c>
      <c r="T23" s="11" t="s">
        <v>463</v>
      </c>
      <c r="U23" s="135" t="s">
        <v>698</v>
      </c>
      <c r="V23" s="10">
        <v>82</v>
      </c>
      <c r="W23" s="10">
        <v>79</v>
      </c>
      <c r="X23" s="10">
        <v>0.028</v>
      </c>
      <c r="Y23" s="10">
        <v>8</v>
      </c>
      <c r="Z23" s="9">
        <f t="shared" si="2"/>
        <v>0.06612480000000001</v>
      </c>
      <c r="AA23" s="9">
        <f t="shared" si="3"/>
        <v>0.0637056</v>
      </c>
      <c r="AB23" s="10">
        <v>21</v>
      </c>
      <c r="AC23" s="10">
        <v>10</v>
      </c>
      <c r="AD23" s="21">
        <f t="shared" si="4"/>
        <v>13.886208000000002</v>
      </c>
      <c r="AE23" s="21">
        <f t="shared" si="0"/>
        <v>13.378176</v>
      </c>
    </row>
    <row r="24" spans="1:31" s="27" customFormat="1" ht="57.75" customHeight="1">
      <c r="A24" s="144"/>
      <c r="B24" s="155"/>
      <c r="C24" s="155"/>
      <c r="D24" s="144"/>
      <c r="E24" s="144"/>
      <c r="F24" s="144"/>
      <c r="G24" s="144"/>
      <c r="H24" s="144"/>
      <c r="I24" s="144"/>
      <c r="J24" s="144"/>
      <c r="K24" s="144"/>
      <c r="L24" s="144"/>
      <c r="M24" s="144"/>
      <c r="N24" s="153"/>
      <c r="O24" s="5" t="s">
        <v>384</v>
      </c>
      <c r="P24" s="10">
        <v>1019459</v>
      </c>
      <c r="Q24" s="10">
        <v>1003630</v>
      </c>
      <c r="R24" s="5">
        <v>2560</v>
      </c>
      <c r="S24" s="5" t="s">
        <v>227</v>
      </c>
      <c r="T24" s="5" t="s">
        <v>464</v>
      </c>
      <c r="U24" s="136"/>
      <c r="V24" s="10">
        <v>89</v>
      </c>
      <c r="W24" s="10">
        <v>85</v>
      </c>
      <c r="X24" s="10">
        <v>0.052</v>
      </c>
      <c r="Y24" s="10">
        <v>8</v>
      </c>
      <c r="Z24" s="9">
        <f t="shared" si="2"/>
        <v>0.1332864</v>
      </c>
      <c r="AA24" s="9">
        <f t="shared" si="3"/>
        <v>0.127296</v>
      </c>
      <c r="AB24" s="10">
        <v>21</v>
      </c>
      <c r="AC24" s="10">
        <v>10</v>
      </c>
      <c r="AD24" s="21">
        <f t="shared" si="4"/>
        <v>27.990144</v>
      </c>
      <c r="AE24" s="21">
        <f t="shared" si="0"/>
        <v>26.73216</v>
      </c>
    </row>
    <row r="25" spans="1:31" s="27" customFormat="1" ht="55.5" customHeight="1">
      <c r="A25" s="144"/>
      <c r="B25" s="155"/>
      <c r="C25" s="155"/>
      <c r="D25" s="144"/>
      <c r="E25" s="144"/>
      <c r="F25" s="144"/>
      <c r="G25" s="144"/>
      <c r="H25" s="144"/>
      <c r="I25" s="144"/>
      <c r="J25" s="144"/>
      <c r="K25" s="144"/>
      <c r="L25" s="144"/>
      <c r="M25" s="144"/>
      <c r="N25" s="153"/>
      <c r="O25" s="11" t="s">
        <v>385</v>
      </c>
      <c r="P25" s="14">
        <v>1019471</v>
      </c>
      <c r="Q25" s="14">
        <v>1003571</v>
      </c>
      <c r="R25" s="11">
        <v>2560</v>
      </c>
      <c r="S25" s="11" t="s">
        <v>226</v>
      </c>
      <c r="T25" s="11" t="s">
        <v>465</v>
      </c>
      <c r="U25" s="5" t="s">
        <v>891</v>
      </c>
      <c r="V25" s="10">
        <v>13</v>
      </c>
      <c r="W25" s="10">
        <v>38</v>
      </c>
      <c r="X25" s="10">
        <f>(0.77+0.2+0.22+0.21+0.34)/5</f>
        <v>0.348</v>
      </c>
      <c r="Y25" s="10">
        <v>8</v>
      </c>
      <c r="Z25" s="9">
        <f t="shared" si="2"/>
        <v>0.1302912</v>
      </c>
      <c r="AA25" s="9">
        <f t="shared" si="3"/>
        <v>0.38085119999999995</v>
      </c>
      <c r="AB25" s="10">
        <v>21</v>
      </c>
      <c r="AC25" s="10">
        <v>10</v>
      </c>
      <c r="AD25" s="21">
        <f t="shared" si="4"/>
        <v>27.361152</v>
      </c>
      <c r="AE25" s="21">
        <f t="shared" si="0"/>
        <v>79.97875199999999</v>
      </c>
    </row>
    <row r="26" spans="1:31" s="27" customFormat="1" ht="28.5" customHeight="1">
      <c r="A26" s="5">
        <v>16</v>
      </c>
      <c r="B26" s="5" t="s">
        <v>19</v>
      </c>
      <c r="C26" s="5">
        <v>2</v>
      </c>
      <c r="D26" s="5" t="s">
        <v>668</v>
      </c>
      <c r="E26" s="5" t="s">
        <v>228</v>
      </c>
      <c r="F26" s="5" t="s">
        <v>832</v>
      </c>
      <c r="G26" s="15" t="s">
        <v>314</v>
      </c>
      <c r="H26" s="46" t="s">
        <v>896</v>
      </c>
      <c r="I26" s="50">
        <v>43208</v>
      </c>
      <c r="J26" s="50">
        <v>43381</v>
      </c>
      <c r="K26" s="50">
        <v>43397</v>
      </c>
      <c r="L26" s="50" t="s">
        <v>91</v>
      </c>
      <c r="M26" s="50">
        <v>45222</v>
      </c>
      <c r="N26" s="10" t="s">
        <v>58</v>
      </c>
      <c r="O26" s="10" t="s">
        <v>64</v>
      </c>
      <c r="P26" s="10">
        <v>124519</v>
      </c>
      <c r="Q26" s="10">
        <v>103297.48</v>
      </c>
      <c r="R26" s="10">
        <v>2557</v>
      </c>
      <c r="S26" s="5" t="s">
        <v>229</v>
      </c>
      <c r="T26" s="5" t="s">
        <v>466</v>
      </c>
      <c r="U26" s="5" t="s">
        <v>688</v>
      </c>
      <c r="V26" s="10"/>
      <c r="W26" s="10"/>
      <c r="X26" s="9"/>
      <c r="Y26" s="10"/>
      <c r="Z26" s="9"/>
      <c r="AA26" s="9"/>
      <c r="AB26" s="10"/>
      <c r="AC26" s="10"/>
      <c r="AD26" s="21">
        <f>AVERAGE(AD27:AD28)</f>
        <v>318.86265599999996</v>
      </c>
      <c r="AE26" s="21">
        <f>AVERAGE(AE27:AE28)</f>
        <v>75.4272</v>
      </c>
    </row>
    <row r="27" spans="1:31" s="27" customFormat="1" ht="56.25" customHeight="1">
      <c r="A27" s="5"/>
      <c r="B27" s="5"/>
      <c r="C27" s="5"/>
      <c r="D27" s="5"/>
      <c r="E27" s="5"/>
      <c r="F27" s="5"/>
      <c r="G27" s="5"/>
      <c r="H27" s="10"/>
      <c r="I27" s="13"/>
      <c r="J27" s="13"/>
      <c r="K27" s="13"/>
      <c r="L27" s="10"/>
      <c r="M27" s="13"/>
      <c r="N27" s="10"/>
      <c r="O27" s="10"/>
      <c r="P27" s="10"/>
      <c r="Q27" s="10"/>
      <c r="R27" s="10"/>
      <c r="S27" s="5"/>
      <c r="T27" s="5"/>
      <c r="U27" s="5" t="s">
        <v>846</v>
      </c>
      <c r="V27" s="10">
        <v>140</v>
      </c>
      <c r="W27" s="10">
        <v>36</v>
      </c>
      <c r="X27" s="9">
        <f>(0.78+0.18+0.15+0.1+0.04)/5</f>
        <v>0.25</v>
      </c>
      <c r="Y27" s="10">
        <v>12</v>
      </c>
      <c r="Z27" s="9">
        <f>X27*V27*Y27*0.0036</f>
        <v>1.512</v>
      </c>
      <c r="AA27" s="9">
        <f>X27*W27*Y27*0.0036</f>
        <v>0.3888</v>
      </c>
      <c r="AB27" s="10">
        <v>30</v>
      </c>
      <c r="AC27" s="10">
        <v>12</v>
      </c>
      <c r="AD27" s="21">
        <f>Z27*AB27*AC27</f>
        <v>544.3199999999999</v>
      </c>
      <c r="AE27" s="21">
        <f>AA27*AB27*AC27</f>
        <v>139.968</v>
      </c>
    </row>
    <row r="28" spans="1:31" s="27" customFormat="1" ht="56.25" customHeight="1">
      <c r="A28" s="5"/>
      <c r="B28" s="5"/>
      <c r="C28" s="5"/>
      <c r="D28" s="5"/>
      <c r="E28" s="5"/>
      <c r="F28" s="5"/>
      <c r="G28" s="5"/>
      <c r="H28" s="10"/>
      <c r="I28" s="13"/>
      <c r="J28" s="13"/>
      <c r="K28" s="13"/>
      <c r="L28" s="10"/>
      <c r="M28" s="13"/>
      <c r="N28" s="10"/>
      <c r="O28" s="10"/>
      <c r="P28" s="10"/>
      <c r="Q28" s="10"/>
      <c r="R28" s="10"/>
      <c r="S28" s="5"/>
      <c r="T28" s="5"/>
      <c r="U28" s="5" t="s">
        <v>886</v>
      </c>
      <c r="V28" s="10">
        <v>42.9</v>
      </c>
      <c r="W28" s="10">
        <v>5</v>
      </c>
      <c r="X28" s="9">
        <v>0.14</v>
      </c>
      <c r="Y28" s="10">
        <v>12</v>
      </c>
      <c r="Z28" s="9">
        <f>X28*V28*Y28*0.0036</f>
        <v>0.2594592</v>
      </c>
      <c r="AA28" s="9">
        <f>X28*W28*Y28*0.0036</f>
        <v>0.03024</v>
      </c>
      <c r="AB28" s="10">
        <v>30</v>
      </c>
      <c r="AC28" s="10">
        <v>12</v>
      </c>
      <c r="AD28" s="21">
        <f>Z28*AB28*AC28</f>
        <v>93.405312</v>
      </c>
      <c r="AE28" s="21">
        <f>AA28*AB28*AC28</f>
        <v>10.8864</v>
      </c>
    </row>
    <row r="29" spans="1:31" s="27" customFormat="1" ht="69.75" customHeight="1">
      <c r="A29" s="5">
        <v>17</v>
      </c>
      <c r="B29" s="5" t="s">
        <v>19</v>
      </c>
      <c r="C29" s="5">
        <v>2</v>
      </c>
      <c r="D29" s="5" t="s">
        <v>667</v>
      </c>
      <c r="E29" s="5" t="s">
        <v>443</v>
      </c>
      <c r="F29" s="5" t="s">
        <v>165</v>
      </c>
      <c r="G29" s="15" t="s">
        <v>314</v>
      </c>
      <c r="H29" s="15" t="s">
        <v>897</v>
      </c>
      <c r="I29" s="50">
        <v>42899</v>
      </c>
      <c r="J29" s="50">
        <v>43005</v>
      </c>
      <c r="K29" s="50">
        <v>43020</v>
      </c>
      <c r="L29" s="6" t="s">
        <v>91</v>
      </c>
      <c r="M29" s="50">
        <v>44845</v>
      </c>
      <c r="N29" s="10" t="s">
        <v>58</v>
      </c>
      <c r="O29" s="10" t="s">
        <v>64</v>
      </c>
      <c r="P29" s="55">
        <v>124165.968</v>
      </c>
      <c r="Q29" s="55">
        <v>103119.01</v>
      </c>
      <c r="R29" s="10">
        <v>2564</v>
      </c>
      <c r="S29" s="5" t="s">
        <v>230</v>
      </c>
      <c r="T29" s="5" t="s">
        <v>467</v>
      </c>
      <c r="U29" s="5" t="s">
        <v>714</v>
      </c>
      <c r="V29" s="10">
        <v>26</v>
      </c>
      <c r="W29" s="10">
        <v>7</v>
      </c>
      <c r="X29" s="9">
        <f>((0.15+0.05+0.2+0.16+0.14+0.14+0.08+0.11+0.11+0.11+0.2+0.1+0.14+0.2+0.12+0.2+0.16)/17)</f>
        <v>0.13941176470588237</v>
      </c>
      <c r="Y29" s="10">
        <v>18</v>
      </c>
      <c r="Z29" s="9">
        <f t="shared" si="2"/>
        <v>0.23488094117647065</v>
      </c>
      <c r="AA29" s="9">
        <f t="shared" si="3"/>
        <v>0.06323717647058825</v>
      </c>
      <c r="AB29" s="10">
        <v>30</v>
      </c>
      <c r="AC29" s="10">
        <v>12</v>
      </c>
      <c r="AD29" s="21">
        <f t="shared" si="4"/>
        <v>84.55713882352944</v>
      </c>
      <c r="AE29" s="21">
        <f t="shared" si="0"/>
        <v>22.76538352941177</v>
      </c>
    </row>
    <row r="30" spans="1:31" s="27" customFormat="1" ht="64.5" customHeight="1">
      <c r="A30" s="5">
        <v>18</v>
      </c>
      <c r="B30" s="5" t="s">
        <v>19</v>
      </c>
      <c r="C30" s="5">
        <v>2</v>
      </c>
      <c r="D30" s="5" t="s">
        <v>666</v>
      </c>
      <c r="E30" s="5" t="s">
        <v>231</v>
      </c>
      <c r="F30" s="5" t="s">
        <v>166</v>
      </c>
      <c r="G30" s="5" t="s">
        <v>13</v>
      </c>
      <c r="H30" s="12" t="s">
        <v>80</v>
      </c>
      <c r="I30" s="12" t="s">
        <v>80</v>
      </c>
      <c r="J30" s="12" t="s">
        <v>80</v>
      </c>
      <c r="K30" s="12" t="s">
        <v>80</v>
      </c>
      <c r="L30" s="12" t="s">
        <v>80</v>
      </c>
      <c r="M30" s="12" t="s">
        <v>80</v>
      </c>
      <c r="N30" s="10" t="s">
        <v>58</v>
      </c>
      <c r="O30" s="10" t="s">
        <v>64</v>
      </c>
      <c r="P30" s="55">
        <v>124463.963</v>
      </c>
      <c r="Q30" s="55">
        <v>103496.533</v>
      </c>
      <c r="R30" s="10">
        <v>2556</v>
      </c>
      <c r="S30" s="5" t="s">
        <v>167</v>
      </c>
      <c r="T30" s="5" t="s">
        <v>468</v>
      </c>
      <c r="U30" s="5" t="s">
        <v>717</v>
      </c>
      <c r="V30" s="10">
        <v>46</v>
      </c>
      <c r="W30" s="10">
        <v>14</v>
      </c>
      <c r="X30" s="9">
        <f>((0.142+0.147+0.149+0.156+0.142+0.14+0.144+0.153+0.162+0.156+0.138+0.147+0.153+0.142+0.147+0.158+0.142)/17)</f>
        <v>0.14811764705882352</v>
      </c>
      <c r="Y30" s="10">
        <v>18</v>
      </c>
      <c r="Z30" s="9">
        <f>X30*V30*Y30*0.0036</f>
        <v>0.4415090823529412</v>
      </c>
      <c r="AA30" s="9">
        <f>X30*W30*Y30*0.0036</f>
        <v>0.1343723294117647</v>
      </c>
      <c r="AB30" s="10">
        <v>30</v>
      </c>
      <c r="AC30" s="10">
        <v>12</v>
      </c>
      <c r="AD30" s="21">
        <f t="shared" si="4"/>
        <v>158.94326964705883</v>
      </c>
      <c r="AE30" s="21">
        <f t="shared" si="0"/>
        <v>48.374038588235294</v>
      </c>
    </row>
    <row r="31" spans="1:31" s="27" customFormat="1" ht="42.75" customHeight="1">
      <c r="A31" s="5">
        <v>19</v>
      </c>
      <c r="B31" s="5" t="s">
        <v>19</v>
      </c>
      <c r="C31" s="5">
        <v>2</v>
      </c>
      <c r="D31" s="5" t="s">
        <v>634</v>
      </c>
      <c r="E31" s="5" t="s">
        <v>232</v>
      </c>
      <c r="F31" s="5" t="s">
        <v>847</v>
      </c>
      <c r="G31" s="15" t="s">
        <v>314</v>
      </c>
      <c r="H31" s="15" t="s">
        <v>898</v>
      </c>
      <c r="I31" s="50">
        <v>43207</v>
      </c>
      <c r="J31" s="50" t="s">
        <v>899</v>
      </c>
      <c r="K31" s="50" t="s">
        <v>12</v>
      </c>
      <c r="L31" s="6" t="s">
        <v>91</v>
      </c>
      <c r="M31" s="49" t="s">
        <v>80</v>
      </c>
      <c r="N31" s="10" t="s">
        <v>58</v>
      </c>
      <c r="O31" s="10" t="s">
        <v>64</v>
      </c>
      <c r="P31" s="55">
        <v>124616.12</v>
      </c>
      <c r="Q31" s="55">
        <v>103812.75</v>
      </c>
      <c r="R31" s="10">
        <v>2557</v>
      </c>
      <c r="S31" s="5" t="s">
        <v>233</v>
      </c>
      <c r="T31" s="5" t="s">
        <v>469</v>
      </c>
      <c r="U31" s="5" t="s">
        <v>888</v>
      </c>
      <c r="V31" s="10"/>
      <c r="W31" s="10"/>
      <c r="X31" s="64"/>
      <c r="Y31" s="10"/>
      <c r="Z31" s="9"/>
      <c r="AA31" s="9"/>
      <c r="AB31" s="10"/>
      <c r="AC31" s="10"/>
      <c r="AD31" s="21">
        <f>AVERAGE(AD32:AD33)</f>
        <v>590.105088</v>
      </c>
      <c r="AE31" s="21">
        <f>AVERAGE(AE32:AE33)</f>
        <v>698.44032</v>
      </c>
    </row>
    <row r="32" spans="1:31" s="27" customFormat="1" ht="33" customHeight="1">
      <c r="A32" s="5"/>
      <c r="B32" s="5"/>
      <c r="C32" s="5"/>
      <c r="D32" s="5"/>
      <c r="E32" s="5"/>
      <c r="F32" s="5"/>
      <c r="G32" s="5"/>
      <c r="H32" s="10"/>
      <c r="I32" s="13"/>
      <c r="J32" s="13"/>
      <c r="K32" s="13"/>
      <c r="L32" s="10"/>
      <c r="M32" s="13"/>
      <c r="N32" s="10"/>
      <c r="O32" s="10"/>
      <c r="P32" s="55"/>
      <c r="Q32" s="55"/>
      <c r="R32" s="10"/>
      <c r="S32" s="5"/>
      <c r="T32" s="5"/>
      <c r="U32" s="5" t="s">
        <v>848</v>
      </c>
      <c r="V32" s="10">
        <v>76.6</v>
      </c>
      <c r="W32" s="10">
        <v>94</v>
      </c>
      <c r="X32" s="9">
        <f>(1.33+0.1+1.07+0.27+0.08)/5</f>
        <v>0.5700000000000001</v>
      </c>
      <c r="Y32" s="10">
        <v>18</v>
      </c>
      <c r="Z32" s="9">
        <f>X32*V32*Y32*0.0036</f>
        <v>2.8292976</v>
      </c>
      <c r="AA32" s="9">
        <f>X32*W32*Y32*0.0036</f>
        <v>3.471984</v>
      </c>
      <c r="AB32" s="10">
        <v>30</v>
      </c>
      <c r="AC32" s="10">
        <v>12</v>
      </c>
      <c r="AD32" s="21">
        <f>Z32*AB32*AC32</f>
        <v>1018.547136</v>
      </c>
      <c r="AE32" s="21">
        <f>AA32*AB32*AC32</f>
        <v>1249.91424</v>
      </c>
    </row>
    <row r="33" spans="1:31" s="27" customFormat="1" ht="59.25" customHeight="1">
      <c r="A33" s="5"/>
      <c r="B33" s="5"/>
      <c r="C33" s="5"/>
      <c r="D33" s="5"/>
      <c r="E33" s="5"/>
      <c r="F33" s="5"/>
      <c r="G33" s="5"/>
      <c r="H33" s="10"/>
      <c r="I33" s="13"/>
      <c r="J33" s="13"/>
      <c r="K33" s="13"/>
      <c r="L33" s="10"/>
      <c r="M33" s="13"/>
      <c r="N33" s="10"/>
      <c r="O33" s="10"/>
      <c r="P33" s="55"/>
      <c r="Q33" s="55"/>
      <c r="R33" s="10"/>
      <c r="S33" s="5"/>
      <c r="T33" s="5"/>
      <c r="U33" s="5" t="s">
        <v>884</v>
      </c>
      <c r="V33" s="10">
        <v>22</v>
      </c>
      <c r="W33" s="10">
        <v>20</v>
      </c>
      <c r="X33" s="9">
        <v>0.315</v>
      </c>
      <c r="Y33" s="10">
        <v>18</v>
      </c>
      <c r="Z33" s="9">
        <f>X33*V33*Y33*0.0036</f>
        <v>0.44906399999999996</v>
      </c>
      <c r="AA33" s="9">
        <f>X33*W33*Y33*0.0036</f>
        <v>0.40823999999999994</v>
      </c>
      <c r="AB33" s="10">
        <v>30</v>
      </c>
      <c r="AC33" s="10">
        <v>12</v>
      </c>
      <c r="AD33" s="21">
        <f>Z33*AB33*AC33</f>
        <v>161.66304</v>
      </c>
      <c r="AE33" s="21">
        <f>AA33*AB33*AC33</f>
        <v>146.96639999999996</v>
      </c>
    </row>
    <row r="34" spans="1:31" s="27" customFormat="1" ht="63.75">
      <c r="A34" s="5">
        <v>20</v>
      </c>
      <c r="B34" s="5" t="s">
        <v>19</v>
      </c>
      <c r="C34" s="5">
        <v>2</v>
      </c>
      <c r="D34" s="5" t="s">
        <v>168</v>
      </c>
      <c r="E34" s="5" t="s">
        <v>234</v>
      </c>
      <c r="F34" s="5" t="s">
        <v>169</v>
      </c>
      <c r="G34" s="5" t="s">
        <v>13</v>
      </c>
      <c r="H34" s="12" t="s">
        <v>80</v>
      </c>
      <c r="I34" s="12" t="s">
        <v>80</v>
      </c>
      <c r="J34" s="12" t="s">
        <v>80</v>
      </c>
      <c r="K34" s="12" t="s">
        <v>80</v>
      </c>
      <c r="L34" s="12" t="s">
        <v>80</v>
      </c>
      <c r="M34" s="12" t="s">
        <v>80</v>
      </c>
      <c r="N34" s="10" t="s">
        <v>58</v>
      </c>
      <c r="O34" s="10" t="s">
        <v>64</v>
      </c>
      <c r="P34" s="55">
        <v>124336.251</v>
      </c>
      <c r="Q34" s="55">
        <v>102742.226</v>
      </c>
      <c r="R34" s="10">
        <v>2558</v>
      </c>
      <c r="S34" s="5" t="s">
        <v>170</v>
      </c>
      <c r="T34" s="5" t="s">
        <v>470</v>
      </c>
      <c r="U34" s="5" t="s">
        <v>783</v>
      </c>
      <c r="V34" s="10">
        <v>70</v>
      </c>
      <c r="W34" s="10">
        <v>23</v>
      </c>
      <c r="X34" s="9">
        <f>((0.2+0.166+0.142+0.166+0.2+0.2+0.166+0.166+0.166+0.16+0.142+0.166+0.166+0.166+0.142+0.166+0.166)/17)</f>
        <v>0.16741176470588232</v>
      </c>
      <c r="Y34" s="10">
        <v>18</v>
      </c>
      <c r="Z34" s="9">
        <f t="shared" si="2"/>
        <v>0.7593797647058822</v>
      </c>
      <c r="AA34" s="9">
        <f t="shared" si="3"/>
        <v>0.249510494117647</v>
      </c>
      <c r="AB34" s="10">
        <v>30</v>
      </c>
      <c r="AC34" s="10">
        <v>12</v>
      </c>
      <c r="AD34" s="21">
        <f>Z34*AB34*AC34</f>
        <v>273.3767152941176</v>
      </c>
      <c r="AE34" s="21">
        <f t="shared" si="0"/>
        <v>89.82377788235291</v>
      </c>
    </row>
    <row r="35" spans="1:31" s="27" customFormat="1" ht="72.75" customHeight="1">
      <c r="A35" s="5">
        <v>21</v>
      </c>
      <c r="B35" s="5" t="s">
        <v>19</v>
      </c>
      <c r="C35" s="5">
        <v>2</v>
      </c>
      <c r="D35" s="5" t="s">
        <v>171</v>
      </c>
      <c r="E35" s="5" t="s">
        <v>699</v>
      </c>
      <c r="F35" s="5" t="s">
        <v>172</v>
      </c>
      <c r="G35" s="5" t="s">
        <v>13</v>
      </c>
      <c r="H35" s="12" t="s">
        <v>80</v>
      </c>
      <c r="I35" s="12" t="s">
        <v>80</v>
      </c>
      <c r="J35" s="12" t="s">
        <v>80</v>
      </c>
      <c r="K35" s="12" t="s">
        <v>80</v>
      </c>
      <c r="L35" s="12" t="s">
        <v>80</v>
      </c>
      <c r="M35" s="12" t="s">
        <v>80</v>
      </c>
      <c r="N35" s="10" t="s">
        <v>58</v>
      </c>
      <c r="O35" s="10" t="s">
        <v>64</v>
      </c>
      <c r="P35" s="10">
        <v>124428.19</v>
      </c>
      <c r="Q35" s="10">
        <v>102770.43</v>
      </c>
      <c r="R35" s="10">
        <v>2558</v>
      </c>
      <c r="S35" s="5" t="s">
        <v>235</v>
      </c>
      <c r="T35" s="5" t="s">
        <v>471</v>
      </c>
      <c r="U35" s="5" t="s">
        <v>784</v>
      </c>
      <c r="V35" s="10">
        <v>15</v>
      </c>
      <c r="W35" s="10">
        <v>5</v>
      </c>
      <c r="X35" s="9">
        <f>(0.095+0.095+0.095+0.095+0.095+0.095+0.095+0.095+0.095+0.095+0.095+0.096+0.095+0.095+0.095+0.095+0.095)/17</f>
        <v>0.09505882352941175</v>
      </c>
      <c r="Y35" s="10">
        <v>18</v>
      </c>
      <c r="Z35" s="9">
        <f>X35*V35*Y35*0.0036</f>
        <v>0.09239717647058823</v>
      </c>
      <c r="AA35" s="9">
        <f>X35*W35*Y35*0.0036</f>
        <v>0.03079905882352941</v>
      </c>
      <c r="AB35" s="10">
        <v>30</v>
      </c>
      <c r="AC35" s="10">
        <v>12</v>
      </c>
      <c r="AD35" s="21">
        <f>Z35*AB35*AC35</f>
        <v>33.26298352941176</v>
      </c>
      <c r="AE35" s="21">
        <f>AA35*AB35*AC35</f>
        <v>11.087661176470586</v>
      </c>
    </row>
    <row r="36" spans="1:31" s="27" customFormat="1" ht="70.5" customHeight="1">
      <c r="A36" s="5">
        <v>22</v>
      </c>
      <c r="B36" s="5" t="s">
        <v>19</v>
      </c>
      <c r="C36" s="5">
        <v>2</v>
      </c>
      <c r="D36" s="5" t="s">
        <v>665</v>
      </c>
      <c r="E36" s="5" t="s">
        <v>236</v>
      </c>
      <c r="F36" s="5" t="s">
        <v>173</v>
      </c>
      <c r="G36" s="5" t="s">
        <v>13</v>
      </c>
      <c r="H36" s="12" t="s">
        <v>80</v>
      </c>
      <c r="I36" s="12" t="s">
        <v>80</v>
      </c>
      <c r="J36" s="12" t="s">
        <v>80</v>
      </c>
      <c r="K36" s="12" t="s">
        <v>80</v>
      </c>
      <c r="L36" s="12" t="s">
        <v>80</v>
      </c>
      <c r="M36" s="12" t="s">
        <v>80</v>
      </c>
      <c r="N36" s="10" t="s">
        <v>58</v>
      </c>
      <c r="O36" s="10" t="s">
        <v>64</v>
      </c>
      <c r="P36" s="10">
        <v>124339.14</v>
      </c>
      <c r="Q36" s="10">
        <v>104091.896</v>
      </c>
      <c r="R36" s="10">
        <v>2552</v>
      </c>
      <c r="S36" s="5" t="s">
        <v>174</v>
      </c>
      <c r="T36" s="5" t="s">
        <v>472</v>
      </c>
      <c r="U36" s="5" t="s">
        <v>805</v>
      </c>
      <c r="V36" s="10">
        <v>54</v>
      </c>
      <c r="W36" s="10">
        <v>18</v>
      </c>
      <c r="X36" s="9">
        <f>((0.11+0.11+0.112+0.112+0.119+0.118+0.116+0.119+0.118+0.121+0.121+0.123+0.119+0.118+0.114+0.122+0.123)/17)</f>
        <v>0.11735294117647058</v>
      </c>
      <c r="Y36" s="10">
        <v>18</v>
      </c>
      <c r="Z36" s="9">
        <f t="shared" si="2"/>
        <v>0.4106414117647058</v>
      </c>
      <c r="AA36" s="9">
        <f t="shared" si="3"/>
        <v>0.1368804705882353</v>
      </c>
      <c r="AB36" s="10">
        <v>30</v>
      </c>
      <c r="AC36" s="10">
        <v>12</v>
      </c>
      <c r="AD36" s="21">
        <f t="shared" si="4"/>
        <v>147.8309082352941</v>
      </c>
      <c r="AE36" s="21">
        <f t="shared" si="0"/>
        <v>49.27696941176471</v>
      </c>
    </row>
    <row r="37" spans="1:31" s="27" customFormat="1" ht="69.75" customHeight="1">
      <c r="A37" s="5">
        <v>23</v>
      </c>
      <c r="B37" s="5" t="s">
        <v>19</v>
      </c>
      <c r="C37" s="5">
        <v>2</v>
      </c>
      <c r="D37" s="5" t="s">
        <v>664</v>
      </c>
      <c r="E37" s="5" t="s">
        <v>237</v>
      </c>
      <c r="F37" s="5" t="s">
        <v>175</v>
      </c>
      <c r="G37" s="15" t="s">
        <v>314</v>
      </c>
      <c r="H37" s="15" t="s">
        <v>900</v>
      </c>
      <c r="I37" s="50">
        <v>43003</v>
      </c>
      <c r="J37" s="50">
        <v>43005</v>
      </c>
      <c r="K37" s="50">
        <v>43020</v>
      </c>
      <c r="L37" s="6" t="s">
        <v>91</v>
      </c>
      <c r="M37" s="50">
        <v>44846</v>
      </c>
      <c r="N37" s="10" t="s">
        <v>58</v>
      </c>
      <c r="O37" s="10" t="s">
        <v>64</v>
      </c>
      <c r="P37" s="10">
        <v>124561.96</v>
      </c>
      <c r="Q37" s="10">
        <v>102828.92</v>
      </c>
      <c r="R37" s="10">
        <v>2559</v>
      </c>
      <c r="S37" s="10" t="s">
        <v>238</v>
      </c>
      <c r="T37" s="10" t="s">
        <v>473</v>
      </c>
      <c r="U37" s="5" t="s">
        <v>806</v>
      </c>
      <c r="V37" s="10">
        <v>53</v>
      </c>
      <c r="W37" s="10">
        <v>14</v>
      </c>
      <c r="X37" s="9">
        <f>(0+0+0.125+0.142+0.111+0.111+0.125+0.125+0.125+0.125+0.125+0.125+0.125+0.125+0.125+0.125+0.125)/17</f>
        <v>0.1096470588235294</v>
      </c>
      <c r="Y37" s="10">
        <v>18</v>
      </c>
      <c r="Z37" s="9">
        <f t="shared" si="2"/>
        <v>0.3765718588235294</v>
      </c>
      <c r="AA37" s="9">
        <f t="shared" si="3"/>
        <v>0.09947181176470586</v>
      </c>
      <c r="AB37" s="10">
        <v>30</v>
      </c>
      <c r="AC37" s="10">
        <v>12</v>
      </c>
      <c r="AD37" s="21">
        <f t="shared" si="4"/>
        <v>135.56586917647058</v>
      </c>
      <c r="AE37" s="21">
        <f t="shared" si="0"/>
        <v>35.809852235294116</v>
      </c>
    </row>
    <row r="38" spans="1:31" s="27" customFormat="1" ht="72" customHeight="1">
      <c r="A38" s="5">
        <v>24</v>
      </c>
      <c r="B38" s="5" t="s">
        <v>19</v>
      </c>
      <c r="C38" s="5">
        <v>2</v>
      </c>
      <c r="D38" s="5" t="s">
        <v>663</v>
      </c>
      <c r="E38" s="5" t="s">
        <v>239</v>
      </c>
      <c r="F38" s="5" t="s">
        <v>176</v>
      </c>
      <c r="G38" s="15" t="s">
        <v>314</v>
      </c>
      <c r="H38" s="5" t="s">
        <v>901</v>
      </c>
      <c r="I38" s="13" t="s">
        <v>937</v>
      </c>
      <c r="J38" s="133" t="s">
        <v>938</v>
      </c>
      <c r="K38" s="12" t="s">
        <v>939</v>
      </c>
      <c r="L38" s="10" t="s">
        <v>91</v>
      </c>
      <c r="M38" s="12" t="s">
        <v>940</v>
      </c>
      <c r="N38" s="5" t="s">
        <v>58</v>
      </c>
      <c r="O38" s="10" t="s">
        <v>64</v>
      </c>
      <c r="P38" s="10">
        <v>124396.62</v>
      </c>
      <c r="Q38" s="10">
        <v>102761.13</v>
      </c>
      <c r="R38" s="10">
        <v>2558</v>
      </c>
      <c r="S38" s="10" t="s">
        <v>240</v>
      </c>
      <c r="T38" s="10" t="s">
        <v>474</v>
      </c>
      <c r="U38" s="5" t="s">
        <v>700</v>
      </c>
      <c r="V38" s="10">
        <v>35</v>
      </c>
      <c r="W38" s="10">
        <v>15</v>
      </c>
      <c r="X38" s="9">
        <f>((0.013+0.407+0.291+0.225+0.204+0.033+0.22+0.014+0.315)/9)</f>
        <v>0.1913333333333333</v>
      </c>
      <c r="Y38" s="10">
        <v>18</v>
      </c>
      <c r="Z38" s="9">
        <f t="shared" si="2"/>
        <v>0.4339439999999999</v>
      </c>
      <c r="AA38" s="9">
        <f t="shared" si="3"/>
        <v>0.18597599999999997</v>
      </c>
      <c r="AB38" s="10">
        <v>30</v>
      </c>
      <c r="AC38" s="10">
        <v>12</v>
      </c>
      <c r="AD38" s="21">
        <f t="shared" si="4"/>
        <v>156.21983999999995</v>
      </c>
      <c r="AE38" s="21">
        <f t="shared" si="0"/>
        <v>66.95136</v>
      </c>
    </row>
    <row r="39" spans="1:31" s="27" customFormat="1" ht="73.5" customHeight="1">
      <c r="A39" s="5">
        <v>25</v>
      </c>
      <c r="B39" s="5" t="s">
        <v>19</v>
      </c>
      <c r="C39" s="5">
        <v>2</v>
      </c>
      <c r="D39" s="5" t="s">
        <v>177</v>
      </c>
      <c r="E39" s="5" t="s">
        <v>241</v>
      </c>
      <c r="F39" s="5" t="s">
        <v>178</v>
      </c>
      <c r="G39" s="5" t="s">
        <v>13</v>
      </c>
      <c r="H39" s="12" t="s">
        <v>80</v>
      </c>
      <c r="I39" s="12" t="s">
        <v>80</v>
      </c>
      <c r="J39" s="12" t="s">
        <v>80</v>
      </c>
      <c r="K39" s="12" t="s">
        <v>80</v>
      </c>
      <c r="L39" s="12" t="s">
        <v>80</v>
      </c>
      <c r="M39" s="12" t="s">
        <v>80</v>
      </c>
      <c r="N39" s="10" t="s">
        <v>58</v>
      </c>
      <c r="O39" s="10" t="s">
        <v>64</v>
      </c>
      <c r="P39" s="10">
        <v>124224.54</v>
      </c>
      <c r="Q39" s="10">
        <v>102741.42</v>
      </c>
      <c r="R39" s="10">
        <v>2563</v>
      </c>
      <c r="S39" s="10" t="s">
        <v>242</v>
      </c>
      <c r="T39" s="10" t="s">
        <v>475</v>
      </c>
      <c r="U39" s="5" t="s">
        <v>701</v>
      </c>
      <c r="V39" s="10">
        <v>88</v>
      </c>
      <c r="W39" s="10">
        <v>82</v>
      </c>
      <c r="X39" s="9">
        <f>((0.125+0.142+0.125+0.111+0.125+0.125+0.111+0.125+0.125+0.125+0.125+0.111+0.125+0.125+0.125+0.111+0.125)/17)</f>
        <v>0.12270588235294116</v>
      </c>
      <c r="Y39" s="10">
        <v>18</v>
      </c>
      <c r="Z39" s="9">
        <f t="shared" si="2"/>
        <v>0.6997180235294116</v>
      </c>
      <c r="AA39" s="9">
        <f t="shared" si="3"/>
        <v>0.6520099764705882</v>
      </c>
      <c r="AB39" s="10">
        <v>30</v>
      </c>
      <c r="AC39" s="10">
        <v>12</v>
      </c>
      <c r="AD39" s="21">
        <f t="shared" si="4"/>
        <v>251.89848847058818</v>
      </c>
      <c r="AE39" s="21">
        <f t="shared" si="0"/>
        <v>234.72359152941178</v>
      </c>
    </row>
    <row r="40" spans="1:31" s="27" customFormat="1" ht="70.5" customHeight="1">
      <c r="A40" s="5">
        <v>26</v>
      </c>
      <c r="B40" s="5" t="s">
        <v>19</v>
      </c>
      <c r="C40" s="5">
        <v>2</v>
      </c>
      <c r="D40" s="5" t="s">
        <v>179</v>
      </c>
      <c r="E40" s="5" t="s">
        <v>243</v>
      </c>
      <c r="F40" s="5" t="s">
        <v>868</v>
      </c>
      <c r="G40" s="5" t="s">
        <v>13</v>
      </c>
      <c r="H40" s="12" t="s">
        <v>80</v>
      </c>
      <c r="I40" s="12" t="s">
        <v>80</v>
      </c>
      <c r="J40" s="12" t="s">
        <v>80</v>
      </c>
      <c r="K40" s="12" t="s">
        <v>80</v>
      </c>
      <c r="L40" s="12" t="s">
        <v>80</v>
      </c>
      <c r="M40" s="12" t="s">
        <v>80</v>
      </c>
      <c r="N40" s="10" t="s">
        <v>58</v>
      </c>
      <c r="O40" s="10" t="s">
        <v>64</v>
      </c>
      <c r="P40" s="10">
        <v>123956.57</v>
      </c>
      <c r="Q40" s="10">
        <v>102681.35</v>
      </c>
      <c r="R40" s="5">
        <v>2562</v>
      </c>
      <c r="S40" s="10" t="s">
        <v>244</v>
      </c>
      <c r="T40" s="10" t="s">
        <v>476</v>
      </c>
      <c r="U40" s="5" t="s">
        <v>785</v>
      </c>
      <c r="V40" s="10">
        <v>22</v>
      </c>
      <c r="W40" s="10">
        <v>10</v>
      </c>
      <c r="X40" s="9">
        <f>((0+0+0.097+0.099+0.099+0.097+0.098+0.098+0.098+0.097+0.098+0.098+0.097+0.097+0.098+0.098+0.98)/17)</f>
        <v>0.13817647058823532</v>
      </c>
      <c r="Y40" s="10">
        <v>18</v>
      </c>
      <c r="Z40" s="9">
        <f t="shared" si="2"/>
        <v>0.19698437647058828</v>
      </c>
      <c r="AA40" s="9">
        <f t="shared" si="3"/>
        <v>0.08953835294117649</v>
      </c>
      <c r="AB40" s="10">
        <v>30</v>
      </c>
      <c r="AC40" s="10">
        <v>12</v>
      </c>
      <c r="AD40" s="21">
        <f t="shared" si="4"/>
        <v>70.91437552941179</v>
      </c>
      <c r="AE40" s="21">
        <f t="shared" si="0"/>
        <v>32.23380705882354</v>
      </c>
    </row>
    <row r="41" spans="1:31" s="27" customFormat="1" ht="64.5" customHeight="1">
      <c r="A41" s="5">
        <v>27</v>
      </c>
      <c r="B41" s="5" t="s">
        <v>19</v>
      </c>
      <c r="C41" s="5">
        <v>2</v>
      </c>
      <c r="D41" s="5" t="s">
        <v>181</v>
      </c>
      <c r="E41" s="5" t="s">
        <v>702</v>
      </c>
      <c r="F41" s="5" t="s">
        <v>869</v>
      </c>
      <c r="G41" s="5" t="s">
        <v>13</v>
      </c>
      <c r="H41" s="12" t="s">
        <v>80</v>
      </c>
      <c r="I41" s="12" t="s">
        <v>80</v>
      </c>
      <c r="J41" s="12" t="s">
        <v>80</v>
      </c>
      <c r="K41" s="12" t="s">
        <v>80</v>
      </c>
      <c r="L41" s="12" t="s">
        <v>80</v>
      </c>
      <c r="M41" s="12" t="s">
        <v>80</v>
      </c>
      <c r="N41" s="10" t="s">
        <v>58</v>
      </c>
      <c r="O41" s="10" t="s">
        <v>64</v>
      </c>
      <c r="P41" s="10">
        <v>125185.93</v>
      </c>
      <c r="Q41" s="10">
        <v>103990.96</v>
      </c>
      <c r="R41" s="5">
        <v>2553</v>
      </c>
      <c r="S41" s="10" t="s">
        <v>246</v>
      </c>
      <c r="T41" s="10" t="s">
        <v>478</v>
      </c>
      <c r="U41" s="5" t="s">
        <v>786</v>
      </c>
      <c r="V41" s="10">
        <v>40.5</v>
      </c>
      <c r="W41" s="10">
        <v>13</v>
      </c>
      <c r="X41" s="9">
        <f>(0.19+0.28+0.19+0.2+0.25+0.26+0.32+0.21+0.33+0.38+0.17+0.19+0.22+0.22+0.12+0.36+0.44)/17</f>
        <v>0.25470588235294117</v>
      </c>
      <c r="Y41" s="10">
        <v>18</v>
      </c>
      <c r="Z41" s="9">
        <f>X41*V41*Y41*0.0036</f>
        <v>0.6684501176470588</v>
      </c>
      <c r="AA41" s="9">
        <f>X41*W41*Y41*0.0036</f>
        <v>0.21456423529411764</v>
      </c>
      <c r="AB41" s="10">
        <v>30</v>
      </c>
      <c r="AC41" s="10">
        <v>12</v>
      </c>
      <c r="AD41" s="21">
        <f aca="true" t="shared" si="5" ref="AD41:AD48">Z41*AB41*AC41</f>
        <v>240.64204235294116</v>
      </c>
      <c r="AE41" s="21">
        <f aca="true" t="shared" si="6" ref="AE41:AE48">AA41*AB41*AC41</f>
        <v>77.24312470588235</v>
      </c>
    </row>
    <row r="42" spans="1:31" s="27" customFormat="1" ht="73.5" customHeight="1">
      <c r="A42" s="5">
        <v>28</v>
      </c>
      <c r="B42" s="5" t="s">
        <v>19</v>
      </c>
      <c r="C42" s="5">
        <v>2</v>
      </c>
      <c r="D42" s="5" t="s">
        <v>182</v>
      </c>
      <c r="E42" s="5" t="s">
        <v>247</v>
      </c>
      <c r="F42" s="5" t="s">
        <v>870</v>
      </c>
      <c r="G42" s="5" t="s">
        <v>13</v>
      </c>
      <c r="H42" s="12" t="s">
        <v>80</v>
      </c>
      <c r="I42" s="12" t="s">
        <v>80</v>
      </c>
      <c r="J42" s="12" t="s">
        <v>80</v>
      </c>
      <c r="K42" s="12" t="s">
        <v>80</v>
      </c>
      <c r="L42" s="12" t="s">
        <v>80</v>
      </c>
      <c r="M42" s="12" t="s">
        <v>80</v>
      </c>
      <c r="N42" s="10" t="s">
        <v>58</v>
      </c>
      <c r="O42" s="10" t="s">
        <v>64</v>
      </c>
      <c r="P42" s="10">
        <v>123945.78</v>
      </c>
      <c r="Q42" s="10">
        <v>104198.61</v>
      </c>
      <c r="R42" s="5">
        <v>2551</v>
      </c>
      <c r="S42" s="5" t="s">
        <v>248</v>
      </c>
      <c r="T42" s="10" t="s">
        <v>479</v>
      </c>
      <c r="U42" s="5" t="s">
        <v>703</v>
      </c>
      <c r="V42" s="10">
        <v>35</v>
      </c>
      <c r="W42" s="10">
        <v>35</v>
      </c>
      <c r="X42" s="9">
        <f>(0+0+0.25+0.25+0.25+0.25+0.25+0.25+0.25+0.25+0.25+0.25+0.26+0.25+0.25+0.25+0.25)/17</f>
        <v>0.22117647058823528</v>
      </c>
      <c r="Y42" s="10">
        <v>18</v>
      </c>
      <c r="Z42" s="9">
        <f>X42*V42*Y42*0.0036</f>
        <v>0.5016282352941175</v>
      </c>
      <c r="AA42" s="9">
        <f>X42*W42*Y42*0.0036</f>
        <v>0.5016282352941175</v>
      </c>
      <c r="AB42" s="10">
        <v>30</v>
      </c>
      <c r="AC42" s="10">
        <v>12</v>
      </c>
      <c r="AD42" s="21">
        <f>Z42*AB42*AC42</f>
        <v>180.58616470588228</v>
      </c>
      <c r="AE42" s="21">
        <f>AA42*AB42*AC42</f>
        <v>180.58616470588228</v>
      </c>
    </row>
    <row r="43" spans="1:31" s="27" customFormat="1" ht="71.25" customHeight="1">
      <c r="A43" s="5">
        <v>29</v>
      </c>
      <c r="B43" s="5" t="s">
        <v>19</v>
      </c>
      <c r="C43" s="5">
        <v>2</v>
      </c>
      <c r="D43" s="5" t="s">
        <v>635</v>
      </c>
      <c r="E43" s="5" t="s">
        <v>445</v>
      </c>
      <c r="F43" s="5" t="s">
        <v>871</v>
      </c>
      <c r="G43" s="5" t="s">
        <v>13</v>
      </c>
      <c r="H43" s="12" t="s">
        <v>80</v>
      </c>
      <c r="I43" s="12" t="s">
        <v>80</v>
      </c>
      <c r="J43" s="12" t="s">
        <v>80</v>
      </c>
      <c r="K43" s="12" t="s">
        <v>80</v>
      </c>
      <c r="L43" s="12" t="s">
        <v>80</v>
      </c>
      <c r="M43" s="12" t="s">
        <v>80</v>
      </c>
      <c r="N43" s="10" t="s">
        <v>58</v>
      </c>
      <c r="O43" s="10" t="s">
        <v>64</v>
      </c>
      <c r="P43" s="10">
        <v>124896.91</v>
      </c>
      <c r="Q43" s="10">
        <v>102856.62</v>
      </c>
      <c r="R43" s="5">
        <v>2558</v>
      </c>
      <c r="S43" s="5" t="s">
        <v>249</v>
      </c>
      <c r="T43" s="5" t="s">
        <v>480</v>
      </c>
      <c r="U43" s="5" t="s">
        <v>704</v>
      </c>
      <c r="V43" s="10">
        <v>65.8</v>
      </c>
      <c r="W43" s="10">
        <v>27.2</v>
      </c>
      <c r="X43" s="9">
        <v>0.061</v>
      </c>
      <c r="Y43" s="10">
        <v>18</v>
      </c>
      <c r="Z43" s="9">
        <f>X43*V43*Y43*0.0036</f>
        <v>0.26009424000000003</v>
      </c>
      <c r="AA43" s="9">
        <f>X43*W43*Y43*0.0036</f>
        <v>0.10751616</v>
      </c>
      <c r="AB43" s="10">
        <v>30</v>
      </c>
      <c r="AC43" s="10">
        <v>12</v>
      </c>
      <c r="AD43" s="21">
        <f t="shared" si="5"/>
        <v>93.63392640000001</v>
      </c>
      <c r="AE43" s="21">
        <f t="shared" si="6"/>
        <v>38.705817599999996</v>
      </c>
    </row>
    <row r="44" spans="1:31" s="27" customFormat="1" ht="168" customHeight="1">
      <c r="A44" s="5">
        <v>30</v>
      </c>
      <c r="B44" s="5" t="s">
        <v>19</v>
      </c>
      <c r="C44" s="5">
        <v>2</v>
      </c>
      <c r="D44" s="5" t="s">
        <v>705</v>
      </c>
      <c r="E44" s="5" t="s">
        <v>250</v>
      </c>
      <c r="F44" s="5" t="s">
        <v>872</v>
      </c>
      <c r="G44" s="5" t="s">
        <v>13</v>
      </c>
      <c r="H44" s="12" t="s">
        <v>80</v>
      </c>
      <c r="I44" s="12" t="s">
        <v>80</v>
      </c>
      <c r="J44" s="12" t="s">
        <v>80</v>
      </c>
      <c r="K44" s="12" t="s">
        <v>80</v>
      </c>
      <c r="L44" s="12" t="s">
        <v>80</v>
      </c>
      <c r="M44" s="12" t="s">
        <v>80</v>
      </c>
      <c r="N44" s="10" t="s">
        <v>58</v>
      </c>
      <c r="O44" s="10" t="s">
        <v>64</v>
      </c>
      <c r="P44" s="10">
        <v>124356.82</v>
      </c>
      <c r="Q44" s="10">
        <v>103793.49</v>
      </c>
      <c r="R44" s="5">
        <v>2556</v>
      </c>
      <c r="S44" s="10" t="s">
        <v>251</v>
      </c>
      <c r="T44" s="10" t="s">
        <v>481</v>
      </c>
      <c r="U44" s="5" t="s">
        <v>791</v>
      </c>
      <c r="V44" s="10"/>
      <c r="W44" s="10"/>
      <c r="X44" s="9"/>
      <c r="Y44" s="10"/>
      <c r="Z44" s="9">
        <f>(50*25*4)/1000</f>
        <v>5</v>
      </c>
      <c r="AA44" s="9">
        <f>(50*25*4)/1000</f>
        <v>5</v>
      </c>
      <c r="AB44" s="10">
        <v>30</v>
      </c>
      <c r="AC44" s="10">
        <v>12</v>
      </c>
      <c r="AD44" s="21">
        <f t="shared" si="5"/>
        <v>1800</v>
      </c>
      <c r="AE44" s="21">
        <f t="shared" si="6"/>
        <v>1800</v>
      </c>
    </row>
    <row r="45" spans="1:31" s="27" customFormat="1" ht="63" customHeight="1">
      <c r="A45" s="5">
        <v>31</v>
      </c>
      <c r="B45" s="5" t="s">
        <v>19</v>
      </c>
      <c r="C45" s="5">
        <v>2</v>
      </c>
      <c r="D45" s="5" t="s">
        <v>183</v>
      </c>
      <c r="E45" s="5" t="s">
        <v>252</v>
      </c>
      <c r="F45" s="5" t="s">
        <v>873</v>
      </c>
      <c r="G45" s="5" t="s">
        <v>13</v>
      </c>
      <c r="H45" s="12" t="s">
        <v>80</v>
      </c>
      <c r="I45" s="12" t="s">
        <v>80</v>
      </c>
      <c r="J45" s="12" t="s">
        <v>80</v>
      </c>
      <c r="K45" s="12" t="s">
        <v>80</v>
      </c>
      <c r="L45" s="12" t="s">
        <v>80</v>
      </c>
      <c r="M45" s="12" t="s">
        <v>80</v>
      </c>
      <c r="N45" s="10" t="s">
        <v>58</v>
      </c>
      <c r="O45" s="10" t="s">
        <v>64</v>
      </c>
      <c r="P45" s="10">
        <v>121261.78</v>
      </c>
      <c r="Q45" s="10">
        <v>103988.48</v>
      </c>
      <c r="R45" s="5">
        <v>2560</v>
      </c>
      <c r="S45" s="10" t="s">
        <v>253</v>
      </c>
      <c r="T45" s="10" t="s">
        <v>482</v>
      </c>
      <c r="U45" s="5" t="s">
        <v>706</v>
      </c>
      <c r="V45" s="10">
        <v>36</v>
      </c>
      <c r="W45" s="10">
        <v>6</v>
      </c>
      <c r="X45" s="9">
        <f>(0.37+0.3+0.25+0.2+0.17)/5</f>
        <v>0.25799999999999995</v>
      </c>
      <c r="Y45" s="10">
        <v>8</v>
      </c>
      <c r="Z45" s="9">
        <f>X45*V45*Y45*0.0036</f>
        <v>0.26749439999999997</v>
      </c>
      <c r="AA45" s="9">
        <f>X45*W45*Y45*0.0036</f>
        <v>0.04458239999999999</v>
      </c>
      <c r="AB45" s="10">
        <v>22</v>
      </c>
      <c r="AC45" s="10">
        <v>10</v>
      </c>
      <c r="AD45" s="21">
        <f t="shared" si="5"/>
        <v>58.84876799999999</v>
      </c>
      <c r="AE45" s="21">
        <f t="shared" si="6"/>
        <v>9.808127999999996</v>
      </c>
    </row>
    <row r="46" spans="1:31" s="27" customFormat="1" ht="102.75" customHeight="1">
      <c r="A46" s="5">
        <v>32</v>
      </c>
      <c r="B46" s="5" t="s">
        <v>19</v>
      </c>
      <c r="C46" s="5">
        <v>2</v>
      </c>
      <c r="D46" s="5" t="s">
        <v>373</v>
      </c>
      <c r="E46" s="5" t="s">
        <v>254</v>
      </c>
      <c r="F46" s="5" t="s">
        <v>184</v>
      </c>
      <c r="G46" s="5" t="s">
        <v>13</v>
      </c>
      <c r="H46" s="12" t="s">
        <v>80</v>
      </c>
      <c r="I46" s="12" t="s">
        <v>80</v>
      </c>
      <c r="J46" s="12" t="s">
        <v>80</v>
      </c>
      <c r="K46" s="12" t="s">
        <v>80</v>
      </c>
      <c r="L46" s="12" t="s">
        <v>80</v>
      </c>
      <c r="M46" s="12" t="s">
        <v>80</v>
      </c>
      <c r="N46" s="10" t="s">
        <v>58</v>
      </c>
      <c r="O46" s="10" t="s">
        <v>64</v>
      </c>
      <c r="P46" s="10">
        <v>119036.61</v>
      </c>
      <c r="Q46" s="10">
        <v>101374.6</v>
      </c>
      <c r="R46" s="10">
        <v>2564</v>
      </c>
      <c r="S46" s="10" t="s">
        <v>255</v>
      </c>
      <c r="T46" s="10" t="s">
        <v>483</v>
      </c>
      <c r="U46" s="5" t="s">
        <v>83</v>
      </c>
      <c r="V46" s="10"/>
      <c r="W46" s="10"/>
      <c r="X46" s="10"/>
      <c r="Y46" s="10"/>
      <c r="Z46" s="7">
        <f>((50*4*4)/1000)</f>
        <v>0.8</v>
      </c>
      <c r="AA46" s="7">
        <f>((50*4*4)/1000)</f>
        <v>0.8</v>
      </c>
      <c r="AB46" s="10">
        <v>30</v>
      </c>
      <c r="AC46" s="10">
        <v>12</v>
      </c>
      <c r="AD46" s="21">
        <f t="shared" si="5"/>
        <v>288</v>
      </c>
      <c r="AE46" s="21">
        <f t="shared" si="6"/>
        <v>288</v>
      </c>
    </row>
    <row r="47" spans="1:31" s="27" customFormat="1" ht="72" customHeight="1">
      <c r="A47" s="5">
        <v>33</v>
      </c>
      <c r="B47" s="5" t="s">
        <v>19</v>
      </c>
      <c r="C47" s="5">
        <v>2</v>
      </c>
      <c r="D47" s="5" t="s">
        <v>185</v>
      </c>
      <c r="E47" s="5" t="s">
        <v>256</v>
      </c>
      <c r="F47" s="5" t="s">
        <v>874</v>
      </c>
      <c r="G47" s="5" t="s">
        <v>904</v>
      </c>
      <c r="H47" s="26" t="s">
        <v>433</v>
      </c>
      <c r="I47" s="26" t="s">
        <v>434</v>
      </c>
      <c r="J47" s="48">
        <v>42913</v>
      </c>
      <c r="K47" s="48">
        <v>42929</v>
      </c>
      <c r="L47" s="12" t="s">
        <v>91</v>
      </c>
      <c r="M47" s="48">
        <v>44754</v>
      </c>
      <c r="N47" s="10" t="s">
        <v>58</v>
      </c>
      <c r="O47" s="10" t="s">
        <v>64</v>
      </c>
      <c r="P47" s="10">
        <v>123615.68</v>
      </c>
      <c r="Q47" s="10">
        <v>104135.77</v>
      </c>
      <c r="R47" s="10">
        <v>2554</v>
      </c>
      <c r="S47" s="10" t="s">
        <v>257</v>
      </c>
      <c r="T47" s="10" t="s">
        <v>484</v>
      </c>
      <c r="U47" s="5" t="s">
        <v>707</v>
      </c>
      <c r="V47" s="10">
        <v>5.07</v>
      </c>
      <c r="W47" s="10">
        <v>10</v>
      </c>
      <c r="X47" s="9">
        <v>3.029</v>
      </c>
      <c r="Y47" s="10">
        <v>16</v>
      </c>
      <c r="Z47" s="9">
        <f>X47*V47*Y47*0.0036</f>
        <v>0.884564928</v>
      </c>
      <c r="AA47" s="9">
        <f>X47*W47*Y47*0.0036</f>
        <v>1.7447039999999998</v>
      </c>
      <c r="AB47" s="10">
        <v>30</v>
      </c>
      <c r="AC47" s="10">
        <v>12</v>
      </c>
      <c r="AD47" s="21">
        <f t="shared" si="5"/>
        <v>318.44337408</v>
      </c>
      <c r="AE47" s="21">
        <f t="shared" si="6"/>
        <v>628.09344</v>
      </c>
    </row>
    <row r="48" spans="1:31" s="27" customFormat="1" ht="67.5" customHeight="1">
      <c r="A48" s="5">
        <v>34</v>
      </c>
      <c r="B48" s="5" t="s">
        <v>19</v>
      </c>
      <c r="C48" s="5">
        <v>2</v>
      </c>
      <c r="D48" s="5" t="s">
        <v>186</v>
      </c>
      <c r="E48" s="5" t="s">
        <v>258</v>
      </c>
      <c r="F48" s="5" t="s">
        <v>875</v>
      </c>
      <c r="G48" s="5" t="s">
        <v>13</v>
      </c>
      <c r="H48" s="12" t="s">
        <v>80</v>
      </c>
      <c r="I48" s="12" t="s">
        <v>80</v>
      </c>
      <c r="J48" s="12" t="s">
        <v>80</v>
      </c>
      <c r="K48" s="12" t="s">
        <v>80</v>
      </c>
      <c r="L48" s="12" t="s">
        <v>80</v>
      </c>
      <c r="M48" s="12" t="s">
        <v>80</v>
      </c>
      <c r="N48" s="10" t="s">
        <v>58</v>
      </c>
      <c r="O48" s="5" t="s">
        <v>64</v>
      </c>
      <c r="P48" s="10">
        <v>119098.14</v>
      </c>
      <c r="Q48" s="10">
        <v>101969.57</v>
      </c>
      <c r="R48" s="5">
        <v>2562</v>
      </c>
      <c r="S48" s="10" t="s">
        <v>259</v>
      </c>
      <c r="T48" s="10" t="s">
        <v>485</v>
      </c>
      <c r="U48" s="5" t="s">
        <v>708</v>
      </c>
      <c r="V48" s="10">
        <v>273</v>
      </c>
      <c r="W48" s="10">
        <v>103</v>
      </c>
      <c r="X48" s="10">
        <f>(0.042+0.115+0.022+0.034+0.018)/5</f>
        <v>0.0462</v>
      </c>
      <c r="Y48" s="10">
        <v>8</v>
      </c>
      <c r="Z48" s="9">
        <f>X48*V48*Y48*0.0036</f>
        <v>0.36324287999999993</v>
      </c>
      <c r="AA48" s="9">
        <f>X48*W48*Y48*0.0036</f>
        <v>0.13704767999999998</v>
      </c>
      <c r="AB48" s="10">
        <v>22</v>
      </c>
      <c r="AC48" s="10">
        <v>10</v>
      </c>
      <c r="AD48" s="21">
        <f t="shared" si="5"/>
        <v>79.91343359999999</v>
      </c>
      <c r="AE48" s="21">
        <f t="shared" si="6"/>
        <v>30.150489599999997</v>
      </c>
    </row>
    <row r="49" spans="1:31" s="27" customFormat="1" ht="65.25" customHeight="1">
      <c r="A49" s="5">
        <v>35</v>
      </c>
      <c r="B49" s="5" t="s">
        <v>19</v>
      </c>
      <c r="C49" s="5">
        <v>2</v>
      </c>
      <c r="D49" s="5" t="s">
        <v>187</v>
      </c>
      <c r="E49" s="5" t="s">
        <v>260</v>
      </c>
      <c r="F49" s="5" t="s">
        <v>816</v>
      </c>
      <c r="G49" s="5" t="s">
        <v>13</v>
      </c>
      <c r="H49" s="12" t="s">
        <v>80</v>
      </c>
      <c r="I49" s="12" t="s">
        <v>80</v>
      </c>
      <c r="J49" s="12" t="s">
        <v>80</v>
      </c>
      <c r="K49" s="12" t="s">
        <v>80</v>
      </c>
      <c r="L49" s="12" t="s">
        <v>80</v>
      </c>
      <c r="M49" s="12" t="s">
        <v>80</v>
      </c>
      <c r="N49" s="10" t="s">
        <v>58</v>
      </c>
      <c r="O49" s="5" t="s">
        <v>64</v>
      </c>
      <c r="P49" s="10"/>
      <c r="Q49" s="10"/>
      <c r="R49" s="10">
        <v>2554</v>
      </c>
      <c r="S49" s="5" t="s">
        <v>817</v>
      </c>
      <c r="T49" s="5" t="s">
        <v>818</v>
      </c>
      <c r="U49" s="5" t="s">
        <v>792</v>
      </c>
      <c r="V49" s="10"/>
      <c r="W49" s="10"/>
      <c r="X49" s="9"/>
      <c r="Y49" s="10"/>
      <c r="Z49" s="9"/>
      <c r="AA49" s="9"/>
      <c r="AB49" s="10"/>
      <c r="AC49" s="10"/>
      <c r="AD49" s="21">
        <f>AVERAGE(AD50:AD51)</f>
        <v>310.48049088000005</v>
      </c>
      <c r="AE49" s="21">
        <f>AVERAGE(AE50:AE51)</f>
        <v>288.89852947199995</v>
      </c>
    </row>
    <row r="50" spans="1:31" s="27" customFormat="1" ht="82.5" customHeight="1">
      <c r="A50" s="5"/>
      <c r="B50" s="5"/>
      <c r="C50" s="5"/>
      <c r="D50" s="5"/>
      <c r="E50" s="5"/>
      <c r="F50" s="5"/>
      <c r="G50" s="5"/>
      <c r="H50" s="12"/>
      <c r="I50" s="12"/>
      <c r="J50" s="12"/>
      <c r="K50" s="12"/>
      <c r="L50" s="12"/>
      <c r="M50" s="12"/>
      <c r="N50" s="10"/>
      <c r="O50" s="5"/>
      <c r="P50" s="10"/>
      <c r="Q50" s="10"/>
      <c r="R50" s="10"/>
      <c r="S50" s="10"/>
      <c r="T50" s="10"/>
      <c r="U50" s="5" t="s">
        <v>709</v>
      </c>
      <c r="V50" s="10">
        <v>47</v>
      </c>
      <c r="W50" s="10">
        <v>83.3</v>
      </c>
      <c r="X50" s="9">
        <f>(0.027+0.016+0.116+0.033+0.0116)/5</f>
        <v>0.04072</v>
      </c>
      <c r="Y50" s="10">
        <v>14</v>
      </c>
      <c r="Z50" s="9">
        <f>X50*V50*Y50*0.0036</f>
        <v>0.096457536</v>
      </c>
      <c r="AA50" s="9">
        <f>X50*W50*Y50*0.0036</f>
        <v>0.17095559039999997</v>
      </c>
      <c r="AB50" s="10">
        <v>30</v>
      </c>
      <c r="AC50" s="10">
        <v>12</v>
      </c>
      <c r="AD50" s="21">
        <f>Z50*AB50*AC50</f>
        <v>34.72471296</v>
      </c>
      <c r="AE50" s="21">
        <f>AA50*AB50*AC50</f>
        <v>61.54401254399998</v>
      </c>
    </row>
    <row r="51" spans="1:31" s="27" customFormat="1" ht="82.5" customHeight="1">
      <c r="A51" s="5"/>
      <c r="B51" s="5"/>
      <c r="C51" s="5"/>
      <c r="D51" s="5"/>
      <c r="E51" s="5"/>
      <c r="F51" s="5"/>
      <c r="G51" s="5"/>
      <c r="H51" s="12"/>
      <c r="I51" s="12"/>
      <c r="J51" s="12"/>
      <c r="K51" s="12"/>
      <c r="L51" s="12"/>
      <c r="M51" s="12"/>
      <c r="N51" s="10"/>
      <c r="O51" s="5"/>
      <c r="P51" s="10"/>
      <c r="Q51" s="10"/>
      <c r="R51" s="10"/>
      <c r="S51" s="10"/>
      <c r="T51" s="10"/>
      <c r="U51" s="5" t="s">
        <v>710</v>
      </c>
      <c r="V51" s="10">
        <v>57.8</v>
      </c>
      <c r="W51" s="10">
        <v>50.9</v>
      </c>
      <c r="X51" s="9">
        <v>0.559</v>
      </c>
      <c r="Y51" s="10">
        <v>14</v>
      </c>
      <c r="Z51" s="9">
        <f>X51*V51*Y51*0.0036</f>
        <v>1.62843408</v>
      </c>
      <c r="AA51" s="9">
        <f>X51*W51*Y51*0.0036</f>
        <v>1.43403624</v>
      </c>
      <c r="AB51" s="10">
        <v>30</v>
      </c>
      <c r="AC51" s="10">
        <v>12</v>
      </c>
      <c r="AD51" s="21">
        <f>Z51*AB51*AC51</f>
        <v>586.2362688000001</v>
      </c>
      <c r="AE51" s="21">
        <f>AA51*AB51*AC51</f>
        <v>516.2530463999999</v>
      </c>
    </row>
    <row r="52" spans="1:31" s="27" customFormat="1" ht="96" customHeight="1">
      <c r="A52" s="5">
        <v>36</v>
      </c>
      <c r="B52" s="5" t="s">
        <v>19</v>
      </c>
      <c r="C52" s="5">
        <v>2</v>
      </c>
      <c r="D52" s="5" t="s">
        <v>889</v>
      </c>
      <c r="E52" s="5" t="s">
        <v>890</v>
      </c>
      <c r="F52" s="5" t="s">
        <v>876</v>
      </c>
      <c r="G52" s="5" t="s">
        <v>13</v>
      </c>
      <c r="H52" s="12" t="s">
        <v>80</v>
      </c>
      <c r="I52" s="12" t="s">
        <v>80</v>
      </c>
      <c r="J52" s="12" t="s">
        <v>80</v>
      </c>
      <c r="K52" s="12" t="s">
        <v>80</v>
      </c>
      <c r="L52" s="12" t="s">
        <v>80</v>
      </c>
      <c r="M52" s="12" t="s">
        <v>80</v>
      </c>
      <c r="N52" s="5" t="s">
        <v>58</v>
      </c>
      <c r="O52" s="5" t="s">
        <v>64</v>
      </c>
      <c r="P52" s="10">
        <v>125402.765</v>
      </c>
      <c r="Q52" s="10">
        <v>104575.04</v>
      </c>
      <c r="R52" s="5">
        <v>2554</v>
      </c>
      <c r="S52" s="5" t="s">
        <v>261</v>
      </c>
      <c r="T52" s="5" t="s">
        <v>486</v>
      </c>
      <c r="U52" s="5" t="s">
        <v>916</v>
      </c>
      <c r="V52" s="10">
        <v>15</v>
      </c>
      <c r="W52" s="10">
        <v>10</v>
      </c>
      <c r="X52" s="9">
        <v>1.62</v>
      </c>
      <c r="Y52" s="10">
        <v>16</v>
      </c>
      <c r="Z52" s="9">
        <f>X52*V52*Y52*0.0036</f>
        <v>1.39968</v>
      </c>
      <c r="AA52" s="9">
        <f>X52*W52*Y52*0.0036</f>
        <v>0.9331200000000002</v>
      </c>
      <c r="AB52" s="10">
        <v>30</v>
      </c>
      <c r="AC52" s="10">
        <v>12</v>
      </c>
      <c r="AD52" s="21">
        <f>Z52*AB52*AC52</f>
        <v>503.88480000000004</v>
      </c>
      <c r="AE52" s="21">
        <f>AA52*AB52*AC52</f>
        <v>335.92320000000007</v>
      </c>
    </row>
    <row r="53" spans="1:31" s="27" customFormat="1" ht="45.75" customHeight="1">
      <c r="A53" s="5">
        <v>37</v>
      </c>
      <c r="B53" s="5" t="s">
        <v>19</v>
      </c>
      <c r="C53" s="5">
        <v>2</v>
      </c>
      <c r="D53" s="5" t="s">
        <v>188</v>
      </c>
      <c r="E53" s="5" t="s">
        <v>713</v>
      </c>
      <c r="F53" s="5" t="s">
        <v>189</v>
      </c>
      <c r="G53" s="5" t="s">
        <v>13</v>
      </c>
      <c r="H53" s="12" t="s">
        <v>80</v>
      </c>
      <c r="I53" s="12" t="s">
        <v>80</v>
      </c>
      <c r="J53" s="12" t="s">
        <v>80</v>
      </c>
      <c r="K53" s="12" t="s">
        <v>80</v>
      </c>
      <c r="L53" s="12" t="s">
        <v>80</v>
      </c>
      <c r="M53" s="12" t="s">
        <v>80</v>
      </c>
      <c r="N53" s="10" t="s">
        <v>58</v>
      </c>
      <c r="O53" s="5" t="s">
        <v>64</v>
      </c>
      <c r="P53" s="10"/>
      <c r="Q53" s="10"/>
      <c r="R53" s="10">
        <v>2558</v>
      </c>
      <c r="S53" s="10" t="s">
        <v>819</v>
      </c>
      <c r="T53" s="10" t="s">
        <v>820</v>
      </c>
      <c r="U53" s="5" t="s">
        <v>688</v>
      </c>
      <c r="V53" s="60"/>
      <c r="W53" s="60"/>
      <c r="X53" s="60"/>
      <c r="Y53" s="10"/>
      <c r="Z53" s="9"/>
      <c r="AA53" s="9"/>
      <c r="AB53" s="10"/>
      <c r="AC53" s="10"/>
      <c r="AD53" s="21">
        <f>AVERAGE(AD54:AD55)</f>
        <v>3839.0765184</v>
      </c>
      <c r="AE53" s="21">
        <f>AVERAGE(AE54:AE55)</f>
        <v>10408.984703999997</v>
      </c>
    </row>
    <row r="54" spans="1:31" s="27" customFormat="1" ht="39" customHeight="1">
      <c r="A54" s="5"/>
      <c r="B54" s="5"/>
      <c r="C54" s="5"/>
      <c r="D54" s="5"/>
      <c r="E54" s="5"/>
      <c r="F54" s="5"/>
      <c r="G54" s="5"/>
      <c r="H54" s="12"/>
      <c r="I54" s="12"/>
      <c r="J54" s="12"/>
      <c r="K54" s="12"/>
      <c r="L54" s="12"/>
      <c r="M54" s="12"/>
      <c r="N54" s="10"/>
      <c r="O54" s="5"/>
      <c r="P54" s="10"/>
      <c r="Q54" s="10"/>
      <c r="R54" s="10"/>
      <c r="S54" s="10"/>
      <c r="T54" s="10"/>
      <c r="U54" s="5" t="s">
        <v>711</v>
      </c>
      <c r="V54" s="60">
        <v>49.6</v>
      </c>
      <c r="W54" s="60">
        <v>26</v>
      </c>
      <c r="X54" s="105">
        <f>(3.22+1.89+0.29+0.05+0.06)/5</f>
        <v>1.1019999999999999</v>
      </c>
      <c r="Y54" s="10">
        <v>24</v>
      </c>
      <c r="Z54" s="9">
        <f aca="true" t="shared" si="7" ref="Z54:Z62">X54*V54*Y54*0.0036</f>
        <v>4.72255488</v>
      </c>
      <c r="AA54" s="9">
        <f aca="true" t="shared" si="8" ref="AA54:AA62">X54*W54*Y54*0.0036</f>
        <v>2.4755327999999994</v>
      </c>
      <c r="AB54" s="10">
        <v>30</v>
      </c>
      <c r="AC54" s="10">
        <v>12</v>
      </c>
      <c r="AD54" s="21">
        <f>Z54*AB54*AC54</f>
        <v>1700.1197567999998</v>
      </c>
      <c r="AE54" s="21">
        <f>AA54*AB54*AC54</f>
        <v>891.1918079999998</v>
      </c>
    </row>
    <row r="55" spans="1:31" s="27" customFormat="1" ht="30" customHeight="1">
      <c r="A55" s="5"/>
      <c r="B55" s="5"/>
      <c r="C55" s="5"/>
      <c r="D55" s="5"/>
      <c r="E55" s="5"/>
      <c r="F55" s="5"/>
      <c r="G55" s="5"/>
      <c r="H55" s="12"/>
      <c r="I55" s="12"/>
      <c r="J55" s="12"/>
      <c r="K55" s="12"/>
      <c r="L55" s="12"/>
      <c r="M55" s="12"/>
      <c r="N55" s="10"/>
      <c r="O55" s="5"/>
      <c r="P55" s="10"/>
      <c r="Q55" s="10"/>
      <c r="R55" s="10"/>
      <c r="S55" s="10"/>
      <c r="T55" s="10"/>
      <c r="U55" s="5" t="s">
        <v>712</v>
      </c>
      <c r="V55" s="60">
        <v>15</v>
      </c>
      <c r="W55" s="60">
        <v>50</v>
      </c>
      <c r="X55" s="60">
        <v>12.813</v>
      </c>
      <c r="Y55" s="10">
        <v>24</v>
      </c>
      <c r="Z55" s="9">
        <f t="shared" si="7"/>
        <v>16.605648000000002</v>
      </c>
      <c r="AA55" s="9">
        <f t="shared" si="8"/>
        <v>55.35215999999999</v>
      </c>
      <c r="AB55" s="10">
        <v>30</v>
      </c>
      <c r="AC55" s="10">
        <v>12</v>
      </c>
      <c r="AD55" s="21">
        <f>Z55*AB55*AC55</f>
        <v>5978.033280000001</v>
      </c>
      <c r="AE55" s="21">
        <f>AA55*AB55*AC55</f>
        <v>19926.777599999994</v>
      </c>
    </row>
    <row r="56" spans="1:31" s="27" customFormat="1" ht="98.25" customHeight="1">
      <c r="A56" s="5">
        <v>38</v>
      </c>
      <c r="B56" s="5" t="s">
        <v>19</v>
      </c>
      <c r="C56" s="5">
        <v>2</v>
      </c>
      <c r="D56" s="5" t="s">
        <v>190</v>
      </c>
      <c r="E56" s="5" t="s">
        <v>446</v>
      </c>
      <c r="F56" s="5" t="s">
        <v>191</v>
      </c>
      <c r="G56" s="5" t="s">
        <v>13</v>
      </c>
      <c r="H56" s="12" t="s">
        <v>80</v>
      </c>
      <c r="I56" s="12" t="s">
        <v>80</v>
      </c>
      <c r="J56" s="12" t="s">
        <v>80</v>
      </c>
      <c r="K56" s="12" t="s">
        <v>80</v>
      </c>
      <c r="L56" s="12" t="s">
        <v>80</v>
      </c>
      <c r="M56" s="12" t="s">
        <v>80</v>
      </c>
      <c r="N56" s="5" t="s">
        <v>58</v>
      </c>
      <c r="O56" s="5" t="s">
        <v>64</v>
      </c>
      <c r="P56" s="10"/>
      <c r="Q56" s="10"/>
      <c r="R56" s="5">
        <v>2549</v>
      </c>
      <c r="S56" s="10" t="s">
        <v>813</v>
      </c>
      <c r="T56" s="10" t="s">
        <v>814</v>
      </c>
      <c r="U56" s="5" t="s">
        <v>815</v>
      </c>
      <c r="V56" s="10">
        <v>39</v>
      </c>
      <c r="W56" s="10">
        <v>26.7</v>
      </c>
      <c r="X56" s="9">
        <f>((6.6+4.35+4.52)/3)</f>
        <v>5.156666666666666</v>
      </c>
      <c r="Y56" s="10">
        <v>16</v>
      </c>
      <c r="Z56" s="9">
        <f t="shared" si="7"/>
        <v>11.583936</v>
      </c>
      <c r="AA56" s="9">
        <f t="shared" si="8"/>
        <v>7.930540799999999</v>
      </c>
      <c r="AB56" s="10">
        <v>30</v>
      </c>
      <c r="AC56" s="10">
        <v>12</v>
      </c>
      <c r="AD56" s="21">
        <f aca="true" t="shared" si="9" ref="AD56:AD78">Z56*AB56*AC56</f>
        <v>4170.21696</v>
      </c>
      <c r="AE56" s="21">
        <f aca="true" t="shared" si="10" ref="AE56:AE78">AA56*AB56*AC56</f>
        <v>2854.9946879999998</v>
      </c>
    </row>
    <row r="57" spans="1:31" s="27" customFormat="1" ht="98.25" customHeight="1">
      <c r="A57" s="5"/>
      <c r="B57" s="5"/>
      <c r="C57" s="5"/>
      <c r="D57" s="5"/>
      <c r="E57" s="5"/>
      <c r="F57" s="5"/>
      <c r="G57" s="5"/>
      <c r="H57" s="12"/>
      <c r="I57" s="12"/>
      <c r="J57" s="12"/>
      <c r="K57" s="12"/>
      <c r="L57" s="12"/>
      <c r="M57" s="12"/>
      <c r="N57" s="5"/>
      <c r="O57" s="5"/>
      <c r="P57" s="10"/>
      <c r="Q57" s="10"/>
      <c r="R57" s="5"/>
      <c r="S57" s="10"/>
      <c r="T57" s="10"/>
      <c r="U57" s="5"/>
      <c r="V57" s="10">
        <v>88</v>
      </c>
      <c r="W57" s="10">
        <v>20</v>
      </c>
      <c r="X57" s="9">
        <v>1.764</v>
      </c>
      <c r="Y57" s="10">
        <v>12</v>
      </c>
      <c r="Z57" s="9">
        <f>X57*V57*Y57*0.0036</f>
        <v>6.7060224</v>
      </c>
      <c r="AA57" s="9">
        <f>X57*W57*Y57*0.0036</f>
        <v>1.5240960000000001</v>
      </c>
      <c r="AB57" s="10">
        <v>30</v>
      </c>
      <c r="AC57" s="10">
        <v>12</v>
      </c>
      <c r="AD57" s="21">
        <f>Z57*AB57*AC57</f>
        <v>2414.1680640000004</v>
      </c>
      <c r="AE57" s="21">
        <f>AA57*AB57*AC57</f>
        <v>548.67456</v>
      </c>
    </row>
    <row r="58" spans="1:31" s="27" customFormat="1" ht="60" customHeight="1">
      <c r="A58" s="5">
        <v>39</v>
      </c>
      <c r="B58" s="5" t="s">
        <v>19</v>
      </c>
      <c r="C58" s="5">
        <v>2</v>
      </c>
      <c r="D58" s="5" t="s">
        <v>192</v>
      </c>
      <c r="E58" s="5" t="s">
        <v>447</v>
      </c>
      <c r="F58" s="5" t="s">
        <v>193</v>
      </c>
      <c r="G58" s="5" t="s">
        <v>904</v>
      </c>
      <c r="H58" s="26" t="s">
        <v>422</v>
      </c>
      <c r="I58" s="48">
        <v>43207</v>
      </c>
      <c r="J58" s="48">
        <v>43207</v>
      </c>
      <c r="K58" s="48">
        <v>43223</v>
      </c>
      <c r="L58" s="12" t="s">
        <v>91</v>
      </c>
      <c r="M58" s="48">
        <v>45048</v>
      </c>
      <c r="N58" s="10" t="s">
        <v>58</v>
      </c>
      <c r="O58" s="5" t="s">
        <v>64</v>
      </c>
      <c r="P58" s="10">
        <v>123271.62</v>
      </c>
      <c r="Q58" s="10">
        <v>104842.06</v>
      </c>
      <c r="R58" s="10">
        <v>2566</v>
      </c>
      <c r="S58" s="10" t="s">
        <v>262</v>
      </c>
      <c r="T58" s="10" t="s">
        <v>487</v>
      </c>
      <c r="U58" s="5" t="s">
        <v>718</v>
      </c>
      <c r="V58" s="10">
        <v>14.3</v>
      </c>
      <c r="W58" s="10">
        <v>19.6</v>
      </c>
      <c r="X58" s="64">
        <v>1.3</v>
      </c>
      <c r="Y58" s="10">
        <v>16</v>
      </c>
      <c r="Z58" s="9">
        <f t="shared" si="7"/>
        <v>1.070784</v>
      </c>
      <c r="AA58" s="9">
        <f t="shared" si="8"/>
        <v>1.4676480000000003</v>
      </c>
      <c r="AB58" s="10">
        <v>30</v>
      </c>
      <c r="AC58" s="10">
        <v>12</v>
      </c>
      <c r="AD58" s="21">
        <f t="shared" si="9"/>
        <v>385.48224</v>
      </c>
      <c r="AE58" s="21">
        <f t="shared" si="10"/>
        <v>528.35328</v>
      </c>
    </row>
    <row r="59" spans="1:31" s="27" customFormat="1" ht="81.75" customHeight="1">
      <c r="A59" s="5">
        <v>40</v>
      </c>
      <c r="B59" s="5" t="s">
        <v>19</v>
      </c>
      <c r="C59" s="5">
        <v>2</v>
      </c>
      <c r="D59" s="11" t="s">
        <v>194</v>
      </c>
      <c r="E59" s="11" t="s">
        <v>263</v>
      </c>
      <c r="F59" s="11" t="s">
        <v>195</v>
      </c>
      <c r="G59" s="5" t="s">
        <v>904</v>
      </c>
      <c r="H59" s="10">
        <v>3735</v>
      </c>
      <c r="I59" s="13">
        <v>41976</v>
      </c>
      <c r="J59" s="13">
        <v>41982</v>
      </c>
      <c r="K59" s="13">
        <v>41997</v>
      </c>
      <c r="L59" s="10" t="s">
        <v>91</v>
      </c>
      <c r="M59" s="13">
        <v>43822</v>
      </c>
      <c r="N59" s="10" t="s">
        <v>58</v>
      </c>
      <c r="O59" s="5" t="s">
        <v>64</v>
      </c>
      <c r="P59" s="10">
        <v>125213.74</v>
      </c>
      <c r="Q59" s="5">
        <v>102892.64</v>
      </c>
      <c r="R59" s="5">
        <v>2557</v>
      </c>
      <c r="S59" s="5" t="s">
        <v>264</v>
      </c>
      <c r="T59" s="5" t="s">
        <v>488</v>
      </c>
      <c r="U59" s="5" t="s">
        <v>719</v>
      </c>
      <c r="V59" s="100">
        <v>13</v>
      </c>
      <c r="W59" s="10">
        <v>43</v>
      </c>
      <c r="X59" s="10">
        <v>0.62</v>
      </c>
      <c r="Y59" s="10">
        <v>18</v>
      </c>
      <c r="Z59" s="9">
        <f t="shared" si="7"/>
        <v>0.5222880000000001</v>
      </c>
      <c r="AA59" s="9">
        <f t="shared" si="8"/>
        <v>1.727568</v>
      </c>
      <c r="AB59" s="10">
        <v>30</v>
      </c>
      <c r="AC59" s="10">
        <v>12</v>
      </c>
      <c r="AD59" s="21">
        <f t="shared" si="9"/>
        <v>188.02368000000004</v>
      </c>
      <c r="AE59" s="21">
        <f t="shared" si="10"/>
        <v>621.9244799999999</v>
      </c>
    </row>
    <row r="60" spans="1:31" s="27" customFormat="1" ht="125.25" customHeight="1">
      <c r="A60" s="5">
        <v>41</v>
      </c>
      <c r="B60" s="5" t="s">
        <v>19</v>
      </c>
      <c r="C60" s="5">
        <v>2</v>
      </c>
      <c r="D60" s="5" t="s">
        <v>662</v>
      </c>
      <c r="E60" s="5" t="s">
        <v>265</v>
      </c>
      <c r="F60" s="5" t="s">
        <v>196</v>
      </c>
      <c r="G60" s="5" t="s">
        <v>904</v>
      </c>
      <c r="H60" s="26" t="s">
        <v>809</v>
      </c>
      <c r="I60" s="48">
        <v>42489</v>
      </c>
      <c r="J60" s="12" t="s">
        <v>12</v>
      </c>
      <c r="K60" s="12" t="s">
        <v>12</v>
      </c>
      <c r="L60" s="12" t="s">
        <v>91</v>
      </c>
      <c r="M60" s="12" t="s">
        <v>12</v>
      </c>
      <c r="N60" s="10" t="s">
        <v>58</v>
      </c>
      <c r="O60" s="5" t="s">
        <v>64</v>
      </c>
      <c r="P60" s="10">
        <v>124278.2</v>
      </c>
      <c r="Q60" s="10">
        <v>104104.54</v>
      </c>
      <c r="R60" s="10">
        <v>2551</v>
      </c>
      <c r="S60" s="10" t="s">
        <v>266</v>
      </c>
      <c r="T60" s="10" t="s">
        <v>489</v>
      </c>
      <c r="U60" s="5" t="s">
        <v>720</v>
      </c>
      <c r="V60" s="10"/>
      <c r="W60" s="10"/>
      <c r="X60" s="9"/>
      <c r="Y60" s="10"/>
      <c r="Z60" s="9">
        <f>(50*15*4)/1000</f>
        <v>3</v>
      </c>
      <c r="AA60" s="9">
        <f>(50*15*4)/1000</f>
        <v>3</v>
      </c>
      <c r="AB60" s="10">
        <v>30</v>
      </c>
      <c r="AC60" s="10">
        <v>12</v>
      </c>
      <c r="AD60" s="21">
        <f>Z60*AB60*AC60</f>
        <v>1080</v>
      </c>
      <c r="AE60" s="21">
        <f>AA60*AB60*AC60</f>
        <v>1080</v>
      </c>
    </row>
    <row r="61" spans="1:31" s="27" customFormat="1" ht="77.25" customHeight="1">
      <c r="A61" s="11">
        <v>42</v>
      </c>
      <c r="B61" s="11" t="s">
        <v>19</v>
      </c>
      <c r="C61" s="11">
        <v>2</v>
      </c>
      <c r="D61" s="11" t="s">
        <v>438</v>
      </c>
      <c r="E61" s="11" t="s">
        <v>448</v>
      </c>
      <c r="F61" s="11" t="s">
        <v>877</v>
      </c>
      <c r="G61" s="11" t="s">
        <v>13</v>
      </c>
      <c r="H61" s="99" t="s">
        <v>80</v>
      </c>
      <c r="I61" s="99" t="s">
        <v>80</v>
      </c>
      <c r="J61" s="99" t="s">
        <v>80</v>
      </c>
      <c r="K61" s="99" t="s">
        <v>80</v>
      </c>
      <c r="L61" s="99" t="s">
        <v>80</v>
      </c>
      <c r="M61" s="99" t="s">
        <v>80</v>
      </c>
      <c r="N61" s="14" t="s">
        <v>58</v>
      </c>
      <c r="O61" s="5" t="s">
        <v>64</v>
      </c>
      <c r="P61" s="14"/>
      <c r="Q61" s="14"/>
      <c r="R61" s="11"/>
      <c r="S61" s="10" t="s">
        <v>856</v>
      </c>
      <c r="T61" s="10" t="s">
        <v>857</v>
      </c>
      <c r="U61" s="5" t="s">
        <v>885</v>
      </c>
      <c r="V61" s="10">
        <v>16.2</v>
      </c>
      <c r="W61" s="10">
        <v>30</v>
      </c>
      <c r="X61" s="9">
        <f>(0.018+0.586+0.909+0.128+0.826)/5</f>
        <v>0.4934</v>
      </c>
      <c r="Y61" s="10">
        <v>16</v>
      </c>
      <c r="Z61" s="9">
        <f t="shared" si="7"/>
        <v>0.460401408</v>
      </c>
      <c r="AA61" s="9">
        <f t="shared" si="8"/>
        <v>0.8525952</v>
      </c>
      <c r="AB61" s="10">
        <v>25</v>
      </c>
      <c r="AC61" s="10">
        <v>12</v>
      </c>
      <c r="AD61" s="21">
        <f t="shared" si="9"/>
        <v>138.1204224</v>
      </c>
      <c r="AE61" s="21">
        <f t="shared" si="10"/>
        <v>255.77855999999997</v>
      </c>
    </row>
    <row r="62" spans="1:31" s="27" customFormat="1" ht="48.75" customHeight="1">
      <c r="A62" s="5">
        <v>43</v>
      </c>
      <c r="B62" s="5" t="s">
        <v>19</v>
      </c>
      <c r="C62" s="5">
        <v>2</v>
      </c>
      <c r="D62" s="5" t="s">
        <v>197</v>
      </c>
      <c r="E62" s="5" t="s">
        <v>449</v>
      </c>
      <c r="F62" s="5" t="s">
        <v>198</v>
      </c>
      <c r="G62" s="5" t="s">
        <v>13</v>
      </c>
      <c r="H62" s="12" t="s">
        <v>80</v>
      </c>
      <c r="I62" s="12" t="s">
        <v>80</v>
      </c>
      <c r="J62" s="12" t="s">
        <v>80</v>
      </c>
      <c r="K62" s="12" t="s">
        <v>80</v>
      </c>
      <c r="L62" s="12" t="s">
        <v>80</v>
      </c>
      <c r="M62" s="12" t="s">
        <v>80</v>
      </c>
      <c r="N62" s="10" t="s">
        <v>58</v>
      </c>
      <c r="O62" s="10" t="s">
        <v>64</v>
      </c>
      <c r="P62" s="10">
        <v>124447.61</v>
      </c>
      <c r="Q62" s="10">
        <v>104690.82</v>
      </c>
      <c r="R62" s="10">
        <v>2559</v>
      </c>
      <c r="S62" s="10" t="s">
        <v>267</v>
      </c>
      <c r="T62" s="10" t="s">
        <v>490</v>
      </c>
      <c r="U62" s="5" t="s">
        <v>721</v>
      </c>
      <c r="V62" s="10">
        <v>16.6</v>
      </c>
      <c r="W62" s="10">
        <v>24</v>
      </c>
      <c r="X62" s="9">
        <f>((0.052+0.052+0.053+0.059+0.045+0.046+0.067+0.062+0.063+0.056+0.055+0.058+0.053+0.053+0.056+0.052+0.053)/17)</f>
        <v>0.05500000000000002</v>
      </c>
      <c r="Y62" s="10">
        <v>10</v>
      </c>
      <c r="Z62" s="9">
        <f t="shared" si="7"/>
        <v>0.032868000000000015</v>
      </c>
      <c r="AA62" s="9">
        <f t="shared" si="8"/>
        <v>0.047520000000000014</v>
      </c>
      <c r="AB62" s="10">
        <v>24</v>
      </c>
      <c r="AC62" s="10">
        <v>12</v>
      </c>
      <c r="AD62" s="21">
        <f t="shared" si="9"/>
        <v>9.465984000000006</v>
      </c>
      <c r="AE62" s="21">
        <f t="shared" si="10"/>
        <v>13.685760000000005</v>
      </c>
    </row>
    <row r="63" spans="1:31" s="27" customFormat="1" ht="64.5" customHeight="1">
      <c r="A63" s="5">
        <v>44</v>
      </c>
      <c r="B63" s="5" t="s">
        <v>19</v>
      </c>
      <c r="C63" s="5">
        <v>2</v>
      </c>
      <c r="D63" s="5" t="s">
        <v>199</v>
      </c>
      <c r="E63" s="5" t="s">
        <v>268</v>
      </c>
      <c r="F63" s="5" t="s">
        <v>200</v>
      </c>
      <c r="G63" s="5" t="s">
        <v>13</v>
      </c>
      <c r="H63" s="12" t="s">
        <v>80</v>
      </c>
      <c r="I63" s="12" t="s">
        <v>80</v>
      </c>
      <c r="J63" s="12" t="s">
        <v>80</v>
      </c>
      <c r="K63" s="12" t="s">
        <v>80</v>
      </c>
      <c r="L63" s="12" t="s">
        <v>80</v>
      </c>
      <c r="M63" s="12" t="s">
        <v>80</v>
      </c>
      <c r="N63" s="10" t="s">
        <v>58</v>
      </c>
      <c r="O63" s="10" t="s">
        <v>64</v>
      </c>
      <c r="P63" s="10">
        <v>124724.83</v>
      </c>
      <c r="Q63" s="10">
        <v>102841.23</v>
      </c>
      <c r="R63" s="10">
        <v>2559</v>
      </c>
      <c r="S63" s="10" t="s">
        <v>269</v>
      </c>
      <c r="T63" s="10" t="s">
        <v>491</v>
      </c>
      <c r="U63" s="5" t="s">
        <v>793</v>
      </c>
      <c r="V63" s="10">
        <v>31</v>
      </c>
      <c r="W63" s="10">
        <v>20</v>
      </c>
      <c r="X63" s="10">
        <v>0.245</v>
      </c>
      <c r="Y63" s="10">
        <v>18</v>
      </c>
      <c r="Z63" s="9">
        <f>X63*V63*Y63*0.0036</f>
        <v>0.49215600000000004</v>
      </c>
      <c r="AA63" s="9">
        <f>X63*W63*Y63*0.0036</f>
        <v>0.31752</v>
      </c>
      <c r="AB63" s="10">
        <v>30</v>
      </c>
      <c r="AC63" s="10">
        <v>12</v>
      </c>
      <c r="AD63" s="21">
        <f t="shared" si="9"/>
        <v>177.17616000000004</v>
      </c>
      <c r="AE63" s="21">
        <f t="shared" si="10"/>
        <v>114.30720000000001</v>
      </c>
    </row>
    <row r="64" spans="1:31" s="27" customFormat="1" ht="94.5" customHeight="1">
      <c r="A64" s="5">
        <v>45</v>
      </c>
      <c r="B64" s="5" t="s">
        <v>19</v>
      </c>
      <c r="C64" s="5">
        <v>2</v>
      </c>
      <c r="D64" s="5" t="s">
        <v>201</v>
      </c>
      <c r="E64" s="5" t="s">
        <v>270</v>
      </c>
      <c r="F64" s="5" t="s">
        <v>810</v>
      </c>
      <c r="G64" s="10" t="s">
        <v>13</v>
      </c>
      <c r="H64" s="12" t="s">
        <v>80</v>
      </c>
      <c r="I64" s="12" t="s">
        <v>80</v>
      </c>
      <c r="J64" s="12" t="s">
        <v>80</v>
      </c>
      <c r="K64" s="12" t="s">
        <v>80</v>
      </c>
      <c r="L64" s="12" t="s">
        <v>80</v>
      </c>
      <c r="M64" s="12" t="s">
        <v>80</v>
      </c>
      <c r="N64" s="10" t="s">
        <v>202</v>
      </c>
      <c r="O64" s="10" t="s">
        <v>64</v>
      </c>
      <c r="P64" s="10">
        <v>103584.236</v>
      </c>
      <c r="Q64" s="10">
        <v>121323.659</v>
      </c>
      <c r="R64" s="10">
        <v>2558</v>
      </c>
      <c r="S64" s="10" t="s">
        <v>271</v>
      </c>
      <c r="T64" s="10" t="s">
        <v>492</v>
      </c>
      <c r="U64" s="5" t="s">
        <v>722</v>
      </c>
      <c r="V64" s="10">
        <v>15.2</v>
      </c>
      <c r="W64" s="10">
        <v>48</v>
      </c>
      <c r="X64" s="10">
        <f>(0.43+0.19+0.29+0.44+0.81)/5</f>
        <v>0.43200000000000005</v>
      </c>
      <c r="Y64" s="10">
        <v>8</v>
      </c>
      <c r="Z64" s="9">
        <f>X64*V64*Y64*0.0036</f>
        <v>0.18911232000000003</v>
      </c>
      <c r="AA64" s="9">
        <f>X64*W64*Y64*0.0036</f>
        <v>0.5971968000000001</v>
      </c>
      <c r="AB64" s="10">
        <v>22</v>
      </c>
      <c r="AC64" s="10">
        <v>10</v>
      </c>
      <c r="AD64" s="21">
        <f t="shared" si="9"/>
        <v>41.60471040000001</v>
      </c>
      <c r="AE64" s="21">
        <f t="shared" si="10"/>
        <v>131.38329600000003</v>
      </c>
    </row>
    <row r="65" spans="1:31" s="27" customFormat="1" ht="62.25" customHeight="1">
      <c r="A65" s="5">
        <v>46</v>
      </c>
      <c r="B65" s="5" t="s">
        <v>19</v>
      </c>
      <c r="C65" s="5">
        <v>2</v>
      </c>
      <c r="D65" s="5" t="s">
        <v>203</v>
      </c>
      <c r="E65" s="5" t="s">
        <v>273</v>
      </c>
      <c r="F65" s="5" t="s">
        <v>204</v>
      </c>
      <c r="G65" s="10" t="s">
        <v>13</v>
      </c>
      <c r="H65" s="12" t="s">
        <v>80</v>
      </c>
      <c r="I65" s="12" t="s">
        <v>80</v>
      </c>
      <c r="J65" s="12" t="s">
        <v>80</v>
      </c>
      <c r="K65" s="12" t="s">
        <v>80</v>
      </c>
      <c r="L65" s="12" t="s">
        <v>80</v>
      </c>
      <c r="M65" s="12" t="s">
        <v>80</v>
      </c>
      <c r="N65" s="10" t="s">
        <v>58</v>
      </c>
      <c r="O65" s="10" t="s">
        <v>64</v>
      </c>
      <c r="P65" s="10">
        <v>122444.83</v>
      </c>
      <c r="Q65" s="10">
        <v>103800.25</v>
      </c>
      <c r="R65" s="10">
        <v>2560</v>
      </c>
      <c r="S65" s="10" t="s">
        <v>272</v>
      </c>
      <c r="T65" s="10" t="s">
        <v>493</v>
      </c>
      <c r="U65" s="5" t="s">
        <v>787</v>
      </c>
      <c r="V65" s="10">
        <v>46</v>
      </c>
      <c r="W65" s="10">
        <v>130</v>
      </c>
      <c r="X65" s="9">
        <f>((0.456+0.325+0.309+0.25+0.244+0.431+0.427+0.46+0.446+0.402+0.633+0.396+0.291+0.493+0.278+0.23+0.197+0.241+0.312+0.293+0.262+0.296+0.373+0.309+0.155+0.304+0.32+0.275+0.29+0.209+0.22+0.197+0.168)/33)</f>
        <v>0.3179393939393939</v>
      </c>
      <c r="Y65" s="10">
        <v>8</v>
      </c>
      <c r="Z65" s="9">
        <f>X65*V65*Y65*0.0036</f>
        <v>0.42120610909090905</v>
      </c>
      <c r="AA65" s="9">
        <f>X65*W65*Y65*0.0036</f>
        <v>1.1903650909090908</v>
      </c>
      <c r="AB65" s="10">
        <v>22</v>
      </c>
      <c r="AC65" s="10">
        <v>10</v>
      </c>
      <c r="AD65" s="21">
        <f t="shared" si="9"/>
        <v>92.66534399999999</v>
      </c>
      <c r="AE65" s="21">
        <f t="shared" si="10"/>
        <v>261.88032</v>
      </c>
    </row>
    <row r="66" spans="1:31" s="27" customFormat="1" ht="77.25" customHeight="1">
      <c r="A66" s="5">
        <v>47</v>
      </c>
      <c r="B66" s="5" t="s">
        <v>19</v>
      </c>
      <c r="C66" s="5">
        <v>2</v>
      </c>
      <c r="D66" s="5" t="s">
        <v>277</v>
      </c>
      <c r="E66" s="5" t="s">
        <v>289</v>
      </c>
      <c r="F66" s="5" t="s">
        <v>821</v>
      </c>
      <c r="G66" s="10" t="s">
        <v>13</v>
      </c>
      <c r="H66" s="12" t="s">
        <v>80</v>
      </c>
      <c r="I66" s="12" t="s">
        <v>80</v>
      </c>
      <c r="J66" s="12" t="s">
        <v>80</v>
      </c>
      <c r="K66" s="12" t="s">
        <v>80</v>
      </c>
      <c r="L66" s="12" t="s">
        <v>80</v>
      </c>
      <c r="M66" s="12" t="s">
        <v>80</v>
      </c>
      <c r="N66" s="10" t="s">
        <v>58</v>
      </c>
      <c r="O66" s="10" t="s">
        <v>64</v>
      </c>
      <c r="P66" s="10">
        <v>119731.11</v>
      </c>
      <c r="Q66" s="10">
        <v>103797.89</v>
      </c>
      <c r="R66" s="10">
        <v>2556</v>
      </c>
      <c r="S66" s="10" t="s">
        <v>295</v>
      </c>
      <c r="T66" s="10" t="s">
        <v>494</v>
      </c>
      <c r="U66" s="5" t="s">
        <v>723</v>
      </c>
      <c r="V66" s="10">
        <v>34</v>
      </c>
      <c r="W66" s="10">
        <v>4</v>
      </c>
      <c r="X66" s="10">
        <f>(0.47+0.33+0.59+0.61+0.48)/5</f>
        <v>0.496</v>
      </c>
      <c r="Y66" s="10">
        <v>16</v>
      </c>
      <c r="Z66" s="66">
        <f aca="true" t="shared" si="11" ref="Z66:Z74">X66*V66*Y66*0.0036</f>
        <v>0.9713664</v>
      </c>
      <c r="AA66" s="66">
        <f aca="true" t="shared" si="12" ref="AA66:AA74">X66*W66*Y66*0.0036</f>
        <v>0.1142784</v>
      </c>
      <c r="AB66" s="10">
        <v>30</v>
      </c>
      <c r="AC66" s="10">
        <v>12</v>
      </c>
      <c r="AD66" s="67">
        <f t="shared" si="9"/>
        <v>349.69190399999997</v>
      </c>
      <c r="AE66" s="67">
        <f t="shared" si="10"/>
        <v>41.140224</v>
      </c>
    </row>
    <row r="67" spans="1:31" s="27" customFormat="1" ht="72" customHeight="1">
      <c r="A67" s="135">
        <v>48</v>
      </c>
      <c r="B67" s="135" t="s">
        <v>19</v>
      </c>
      <c r="C67" s="135">
        <v>2</v>
      </c>
      <c r="D67" s="135" t="s">
        <v>278</v>
      </c>
      <c r="E67" s="135" t="s">
        <v>290</v>
      </c>
      <c r="F67" s="135" t="s">
        <v>878</v>
      </c>
      <c r="G67" s="137" t="s">
        <v>13</v>
      </c>
      <c r="H67" s="139" t="s">
        <v>80</v>
      </c>
      <c r="I67" s="139" t="s">
        <v>80</v>
      </c>
      <c r="J67" s="139" t="s">
        <v>80</v>
      </c>
      <c r="K67" s="139" t="s">
        <v>80</v>
      </c>
      <c r="L67" s="139" t="s">
        <v>80</v>
      </c>
      <c r="M67" s="139" t="s">
        <v>80</v>
      </c>
      <c r="N67" s="137" t="s">
        <v>58</v>
      </c>
      <c r="O67" s="10" t="s">
        <v>64</v>
      </c>
      <c r="P67" s="10"/>
      <c r="Q67" s="10"/>
      <c r="R67" s="102"/>
      <c r="S67" s="5" t="s">
        <v>725</v>
      </c>
      <c r="T67" s="5" t="s">
        <v>724</v>
      </c>
      <c r="U67" s="5" t="s">
        <v>728</v>
      </c>
      <c r="V67" s="10">
        <v>21.8</v>
      </c>
      <c r="W67" s="10">
        <v>7.33</v>
      </c>
      <c r="X67" s="10">
        <f>(0.01+0.01+0.02+0.01+0.01)/5</f>
        <v>0.012</v>
      </c>
      <c r="Y67" s="10">
        <v>12</v>
      </c>
      <c r="Z67" s="66">
        <f>X67*V67*Y67*0.0036</f>
        <v>0.01130112</v>
      </c>
      <c r="AA67" s="66">
        <f>X67*W67*Y67*0.0036</f>
        <v>0.003799872</v>
      </c>
      <c r="AB67" s="10">
        <v>30</v>
      </c>
      <c r="AC67" s="10">
        <v>12</v>
      </c>
      <c r="AD67" s="67">
        <f t="shared" si="9"/>
        <v>4.0684032</v>
      </c>
      <c r="AE67" s="67">
        <f t="shared" si="10"/>
        <v>1.36795392</v>
      </c>
    </row>
    <row r="68" spans="1:31" s="27" customFormat="1" ht="69" customHeight="1">
      <c r="A68" s="136"/>
      <c r="B68" s="136"/>
      <c r="C68" s="136"/>
      <c r="D68" s="136"/>
      <c r="E68" s="136"/>
      <c r="F68" s="136"/>
      <c r="G68" s="138"/>
      <c r="H68" s="140"/>
      <c r="I68" s="140"/>
      <c r="J68" s="140"/>
      <c r="K68" s="140"/>
      <c r="L68" s="140"/>
      <c r="M68" s="140"/>
      <c r="N68" s="138"/>
      <c r="O68" s="10" t="s">
        <v>64</v>
      </c>
      <c r="P68" s="10"/>
      <c r="Q68" s="10"/>
      <c r="R68" s="102"/>
      <c r="S68" s="5" t="s">
        <v>726</v>
      </c>
      <c r="T68" s="5" t="s">
        <v>727</v>
      </c>
      <c r="U68" s="5" t="s">
        <v>729</v>
      </c>
      <c r="V68" s="10">
        <v>25</v>
      </c>
      <c r="W68" s="10">
        <v>26</v>
      </c>
      <c r="X68" s="10">
        <f>(0.11+0.02+0.02+0.3+0.12)/5</f>
        <v>0.11399999999999999</v>
      </c>
      <c r="Y68" s="10">
        <v>12</v>
      </c>
      <c r="Z68" s="66">
        <f>X68*V68*Y68*0.0036</f>
        <v>0.12311999999999998</v>
      </c>
      <c r="AA68" s="66">
        <f>X68*W68*Y68*0.0036</f>
        <v>0.1280448</v>
      </c>
      <c r="AB68" s="10">
        <v>30</v>
      </c>
      <c r="AC68" s="10">
        <v>12</v>
      </c>
      <c r="AD68" s="67">
        <f t="shared" si="9"/>
        <v>44.32319999999999</v>
      </c>
      <c r="AE68" s="67">
        <f t="shared" si="10"/>
        <v>46.09612799999999</v>
      </c>
    </row>
    <row r="69" spans="1:31" s="27" customFormat="1" ht="54" customHeight="1">
      <c r="A69" s="11">
        <v>49</v>
      </c>
      <c r="B69" s="5" t="s">
        <v>19</v>
      </c>
      <c r="C69" s="5">
        <v>2</v>
      </c>
      <c r="D69" s="5" t="s">
        <v>439</v>
      </c>
      <c r="E69" s="11" t="s">
        <v>730</v>
      </c>
      <c r="F69" s="11" t="s">
        <v>279</v>
      </c>
      <c r="G69" s="14" t="s">
        <v>13</v>
      </c>
      <c r="H69" s="12" t="s">
        <v>80</v>
      </c>
      <c r="I69" s="12" t="s">
        <v>80</v>
      </c>
      <c r="J69" s="12" t="s">
        <v>80</v>
      </c>
      <c r="K69" s="12" t="s">
        <v>80</v>
      </c>
      <c r="L69" s="12" t="s">
        <v>80</v>
      </c>
      <c r="M69" s="12" t="s">
        <v>80</v>
      </c>
      <c r="N69" s="10" t="s">
        <v>58</v>
      </c>
      <c r="O69" s="10" t="s">
        <v>64</v>
      </c>
      <c r="P69" s="10">
        <v>118299.1</v>
      </c>
      <c r="Q69" s="10">
        <v>101350.02</v>
      </c>
      <c r="R69" s="10">
        <v>2563</v>
      </c>
      <c r="S69" s="10" t="s">
        <v>296</v>
      </c>
      <c r="T69" s="10" t="s">
        <v>495</v>
      </c>
      <c r="U69" s="5" t="s">
        <v>731</v>
      </c>
      <c r="V69" s="10">
        <v>32</v>
      </c>
      <c r="W69" s="10">
        <v>12</v>
      </c>
      <c r="X69" s="9">
        <f>((0+0+0.048+0.035+0.029+0.045+0.036+0.024+0.03+0+0+0.032+0.038+0.034+0.042+0.04+0+0+0.037+0.028+0.045+0.036+0.031+0.028+0.037+0+0+0+0.047+0.043+0.034+0+0)/33)</f>
        <v>0.024212121212121216</v>
      </c>
      <c r="Y69" s="10">
        <v>8</v>
      </c>
      <c r="Z69" s="66">
        <f t="shared" si="11"/>
        <v>0.022313890909090913</v>
      </c>
      <c r="AA69" s="66">
        <f t="shared" si="12"/>
        <v>0.008367709090909092</v>
      </c>
      <c r="AB69" s="10">
        <v>30</v>
      </c>
      <c r="AC69" s="10">
        <v>12</v>
      </c>
      <c r="AD69" s="67">
        <f t="shared" si="9"/>
        <v>8.033000727272729</v>
      </c>
      <c r="AE69" s="67">
        <f t="shared" si="10"/>
        <v>3.0123752727272732</v>
      </c>
    </row>
    <row r="70" spans="1:31" s="27" customFormat="1" ht="60" customHeight="1">
      <c r="A70" s="10">
        <v>50</v>
      </c>
      <c r="B70" s="5" t="s">
        <v>19</v>
      </c>
      <c r="C70" s="5">
        <v>2</v>
      </c>
      <c r="D70" s="5" t="s">
        <v>686</v>
      </c>
      <c r="E70" s="5" t="s">
        <v>732</v>
      </c>
      <c r="F70" s="11" t="s">
        <v>685</v>
      </c>
      <c r="G70" s="10" t="s">
        <v>13</v>
      </c>
      <c r="H70" s="12" t="s">
        <v>80</v>
      </c>
      <c r="I70" s="12" t="s">
        <v>80</v>
      </c>
      <c r="J70" s="12" t="s">
        <v>80</v>
      </c>
      <c r="K70" s="12" t="s">
        <v>80</v>
      </c>
      <c r="L70" s="12" t="s">
        <v>80</v>
      </c>
      <c r="M70" s="12" t="s">
        <v>80</v>
      </c>
      <c r="N70" s="10" t="s">
        <v>58</v>
      </c>
      <c r="O70" s="5" t="s">
        <v>294</v>
      </c>
      <c r="P70" s="10">
        <v>118271.43</v>
      </c>
      <c r="Q70" s="10">
        <v>101205.13</v>
      </c>
      <c r="R70" s="10">
        <v>2565</v>
      </c>
      <c r="S70" s="10" t="s">
        <v>280</v>
      </c>
      <c r="T70" s="10" t="s">
        <v>496</v>
      </c>
      <c r="U70" s="5" t="s">
        <v>733</v>
      </c>
      <c r="V70" s="10">
        <v>14</v>
      </c>
      <c r="W70" s="10">
        <v>5</v>
      </c>
      <c r="X70" s="9">
        <v>0.137</v>
      </c>
      <c r="Y70" s="10">
        <v>8</v>
      </c>
      <c r="Z70" s="66">
        <f t="shared" si="11"/>
        <v>0.0552384</v>
      </c>
      <c r="AA70" s="66">
        <f t="shared" si="12"/>
        <v>0.019728000000000002</v>
      </c>
      <c r="AB70" s="10">
        <v>30</v>
      </c>
      <c r="AC70" s="10">
        <v>12</v>
      </c>
      <c r="AD70" s="67">
        <f t="shared" si="9"/>
        <v>19.885824</v>
      </c>
      <c r="AE70" s="67">
        <f t="shared" si="10"/>
        <v>7.102080000000001</v>
      </c>
    </row>
    <row r="71" spans="1:31" s="27" customFormat="1" ht="47.25" customHeight="1">
      <c r="A71" s="10">
        <v>51</v>
      </c>
      <c r="B71" s="5" t="s">
        <v>19</v>
      </c>
      <c r="C71" s="5">
        <v>2</v>
      </c>
      <c r="D71" s="5" t="s">
        <v>281</v>
      </c>
      <c r="E71" s="10" t="s">
        <v>638</v>
      </c>
      <c r="F71" s="10" t="s">
        <v>879</v>
      </c>
      <c r="G71" s="10" t="s">
        <v>13</v>
      </c>
      <c r="H71" s="12" t="s">
        <v>80</v>
      </c>
      <c r="I71" s="12" t="s">
        <v>80</v>
      </c>
      <c r="J71" s="12" t="s">
        <v>80</v>
      </c>
      <c r="K71" s="12" t="s">
        <v>80</v>
      </c>
      <c r="L71" s="12" t="s">
        <v>80</v>
      </c>
      <c r="M71" s="12" t="s">
        <v>80</v>
      </c>
      <c r="N71" s="10" t="s">
        <v>58</v>
      </c>
      <c r="O71" s="10" t="s">
        <v>64</v>
      </c>
      <c r="P71" s="10">
        <v>118929.15</v>
      </c>
      <c r="Q71" s="10">
        <v>102117.57</v>
      </c>
      <c r="R71" s="10">
        <v>2563</v>
      </c>
      <c r="S71" s="10" t="s">
        <v>300</v>
      </c>
      <c r="T71" s="10" t="s">
        <v>497</v>
      </c>
      <c r="U71" s="5" t="s">
        <v>688</v>
      </c>
      <c r="V71" s="10"/>
      <c r="W71" s="10"/>
      <c r="X71" s="61"/>
      <c r="Y71" s="10"/>
      <c r="Z71" s="66"/>
      <c r="AA71" s="66"/>
      <c r="AB71" s="10"/>
      <c r="AC71" s="10"/>
      <c r="AD71" s="67">
        <f>AVERAGE(AD72:AD73)</f>
        <v>878.7792384</v>
      </c>
      <c r="AE71" s="67">
        <f>AVERAGE(AE72:AE73)</f>
        <v>438.5350368</v>
      </c>
    </row>
    <row r="72" spans="1:31" s="27" customFormat="1" ht="47.25" customHeight="1">
      <c r="A72" s="10"/>
      <c r="B72" s="5"/>
      <c r="C72" s="5"/>
      <c r="D72" s="5"/>
      <c r="E72" s="10"/>
      <c r="F72" s="10"/>
      <c r="G72" s="10"/>
      <c r="H72" s="12"/>
      <c r="I72" s="12"/>
      <c r="J72" s="12"/>
      <c r="K72" s="12"/>
      <c r="L72" s="12"/>
      <c r="M72" s="12"/>
      <c r="N72" s="10"/>
      <c r="O72" s="10"/>
      <c r="P72" s="10"/>
      <c r="Q72" s="10"/>
      <c r="R72" s="10"/>
      <c r="S72" s="10"/>
      <c r="T72" s="10"/>
      <c r="U72" s="5" t="s">
        <v>735</v>
      </c>
      <c r="V72" s="10">
        <v>104</v>
      </c>
      <c r="W72" s="10">
        <v>58</v>
      </c>
      <c r="X72" s="9">
        <f>(2.4+1.64+0.18+5.85+0.007)/5</f>
        <v>2.0154</v>
      </c>
      <c r="Y72" s="10">
        <v>8</v>
      </c>
      <c r="Z72" s="66">
        <f>X72*V72*Y72*0.0036</f>
        <v>6.036526080000001</v>
      </c>
      <c r="AA72" s="66">
        <f>X72*W72*Y72*0.0036</f>
        <v>3.36652416</v>
      </c>
      <c r="AB72" s="10">
        <v>20</v>
      </c>
      <c r="AC72" s="10">
        <v>10.5</v>
      </c>
      <c r="AD72" s="67">
        <f>Z72*AB72*AC72</f>
        <v>1267.6704768000002</v>
      </c>
      <c r="AE72" s="67">
        <f>AA72*AB72*AC72</f>
        <v>706.9700736</v>
      </c>
    </row>
    <row r="73" spans="1:31" s="27" customFormat="1" ht="47.25" customHeight="1">
      <c r="A73" s="10"/>
      <c r="B73" s="5"/>
      <c r="C73" s="5"/>
      <c r="D73" s="5"/>
      <c r="E73" s="10"/>
      <c r="F73" s="10"/>
      <c r="G73" s="10"/>
      <c r="H73" s="12"/>
      <c r="I73" s="12"/>
      <c r="J73" s="12"/>
      <c r="K73" s="12"/>
      <c r="L73" s="12"/>
      <c r="M73" s="12"/>
      <c r="N73" s="10"/>
      <c r="O73" s="10"/>
      <c r="P73" s="10"/>
      <c r="Q73" s="10"/>
      <c r="R73" s="10"/>
      <c r="S73" s="10"/>
      <c r="T73" s="10"/>
      <c r="U73" s="5" t="s">
        <v>734</v>
      </c>
      <c r="V73" s="10">
        <v>72</v>
      </c>
      <c r="W73" s="10">
        <v>25</v>
      </c>
      <c r="X73" s="9">
        <v>1.125</v>
      </c>
      <c r="Y73" s="10">
        <v>8</v>
      </c>
      <c r="Z73" s="66">
        <f>X73*V73*Y73*0.0036</f>
        <v>2.3327999999999998</v>
      </c>
      <c r="AA73" s="66">
        <f>X73*W73*Y73*0.0036</f>
        <v>0.8099999999999999</v>
      </c>
      <c r="AB73" s="10">
        <v>20</v>
      </c>
      <c r="AC73" s="10">
        <v>10.5</v>
      </c>
      <c r="AD73" s="67">
        <f>Z73*AB73*AC73</f>
        <v>489.8879999999999</v>
      </c>
      <c r="AE73" s="67">
        <f>AA73*AB73*AC73</f>
        <v>170.1</v>
      </c>
    </row>
    <row r="74" spans="1:31" s="27" customFormat="1" ht="83.25" customHeight="1">
      <c r="A74" s="10">
        <v>52</v>
      </c>
      <c r="B74" s="5" t="s">
        <v>19</v>
      </c>
      <c r="C74" s="5">
        <v>2</v>
      </c>
      <c r="D74" s="5" t="s">
        <v>282</v>
      </c>
      <c r="E74" s="5" t="s">
        <v>291</v>
      </c>
      <c r="F74" s="10" t="s">
        <v>880</v>
      </c>
      <c r="G74" s="10" t="s">
        <v>13</v>
      </c>
      <c r="H74" s="12" t="s">
        <v>80</v>
      </c>
      <c r="I74" s="12" t="s">
        <v>80</v>
      </c>
      <c r="J74" s="12" t="s">
        <v>80</v>
      </c>
      <c r="K74" s="12" t="s">
        <v>80</v>
      </c>
      <c r="L74" s="12" t="s">
        <v>80</v>
      </c>
      <c r="M74" s="12" t="s">
        <v>80</v>
      </c>
      <c r="N74" s="10" t="s">
        <v>58</v>
      </c>
      <c r="O74" s="10" t="s">
        <v>64</v>
      </c>
      <c r="P74" s="10">
        <v>123357.68</v>
      </c>
      <c r="Q74" s="10">
        <v>104953.02</v>
      </c>
      <c r="R74" s="10">
        <v>2564</v>
      </c>
      <c r="S74" s="10" t="s">
        <v>297</v>
      </c>
      <c r="T74" s="10" t="s">
        <v>498</v>
      </c>
      <c r="U74" s="5" t="s">
        <v>736</v>
      </c>
      <c r="V74" s="10">
        <v>28.3</v>
      </c>
      <c r="W74" s="10">
        <v>61.7</v>
      </c>
      <c r="X74" s="10">
        <v>0.247</v>
      </c>
      <c r="Y74" s="10">
        <v>16</v>
      </c>
      <c r="Z74" s="66">
        <f t="shared" si="11"/>
        <v>0.40262976</v>
      </c>
      <c r="AA74" s="66">
        <f t="shared" si="12"/>
        <v>0.87781824</v>
      </c>
      <c r="AB74" s="10">
        <v>30</v>
      </c>
      <c r="AC74" s="10">
        <v>12</v>
      </c>
      <c r="AD74" s="67">
        <f t="shared" si="9"/>
        <v>144.9467136</v>
      </c>
      <c r="AE74" s="67">
        <f t="shared" si="10"/>
        <v>316.0145664</v>
      </c>
    </row>
    <row r="75" spans="1:31" s="27" customFormat="1" ht="43.5" customHeight="1">
      <c r="A75" s="10">
        <v>53</v>
      </c>
      <c r="B75" s="5" t="s">
        <v>19</v>
      </c>
      <c r="C75" s="5">
        <v>2</v>
      </c>
      <c r="D75" s="5" t="s">
        <v>283</v>
      </c>
      <c r="E75" s="10" t="s">
        <v>629</v>
      </c>
      <c r="F75" s="10" t="s">
        <v>428</v>
      </c>
      <c r="G75" s="10" t="s">
        <v>13</v>
      </c>
      <c r="H75" s="12" t="s">
        <v>80</v>
      </c>
      <c r="I75" s="12" t="s">
        <v>80</v>
      </c>
      <c r="J75" s="12" t="s">
        <v>80</v>
      </c>
      <c r="K75" s="12" t="s">
        <v>80</v>
      </c>
      <c r="L75" s="12" t="s">
        <v>80</v>
      </c>
      <c r="M75" s="12" t="s">
        <v>80</v>
      </c>
      <c r="N75" s="10" t="s">
        <v>58</v>
      </c>
      <c r="O75" s="10" t="s">
        <v>64</v>
      </c>
      <c r="P75" s="10"/>
      <c r="Q75" s="10"/>
      <c r="R75" s="10">
        <v>2558</v>
      </c>
      <c r="S75" s="10" t="s">
        <v>811</v>
      </c>
      <c r="T75" s="10" t="s">
        <v>812</v>
      </c>
      <c r="U75" s="5" t="s">
        <v>737</v>
      </c>
      <c r="V75" s="10"/>
      <c r="W75" s="10"/>
      <c r="X75" s="10"/>
      <c r="Y75" s="10"/>
      <c r="Z75" s="66"/>
      <c r="AA75" s="66"/>
      <c r="AB75" s="10"/>
      <c r="AC75" s="10"/>
      <c r="AD75" s="67">
        <f>AD76+AD77</f>
        <v>81.8869248</v>
      </c>
      <c r="AE75" s="67">
        <f>AE76+AE77</f>
        <v>368.206848</v>
      </c>
    </row>
    <row r="76" spans="1:31" s="27" customFormat="1" ht="79.5" customHeight="1">
      <c r="A76" s="10"/>
      <c r="B76" s="5"/>
      <c r="C76" s="5"/>
      <c r="D76" s="5"/>
      <c r="E76" s="10"/>
      <c r="F76" s="10"/>
      <c r="G76" s="10"/>
      <c r="H76" s="12"/>
      <c r="I76" s="12"/>
      <c r="J76" s="12"/>
      <c r="K76" s="12"/>
      <c r="L76" s="12"/>
      <c r="M76" s="12"/>
      <c r="N76" s="10"/>
      <c r="O76" s="10"/>
      <c r="P76" s="10"/>
      <c r="Q76" s="10"/>
      <c r="R76" s="10"/>
      <c r="S76" s="10"/>
      <c r="T76" s="10"/>
      <c r="U76" s="5" t="s">
        <v>738</v>
      </c>
      <c r="V76" s="10">
        <v>178</v>
      </c>
      <c r="W76" s="10">
        <v>18640</v>
      </c>
      <c r="X76" s="10">
        <v>1.28</v>
      </c>
      <c r="Y76" s="10">
        <v>1</v>
      </c>
      <c r="Z76" s="66">
        <f>X76*V76*Y76*0.0036</f>
        <v>0.820224</v>
      </c>
      <c r="AA76" s="66">
        <f>X76*W76*Y76*0.0036</f>
        <v>85.89312</v>
      </c>
      <c r="AB76" s="10">
        <v>1</v>
      </c>
      <c r="AC76" s="10">
        <v>4</v>
      </c>
      <c r="AD76" s="67">
        <f>Z76*AB76*AC76</f>
        <v>3.280896</v>
      </c>
      <c r="AE76" s="67">
        <f>AA76*AB76*AC76</f>
        <v>343.57248</v>
      </c>
    </row>
    <row r="77" spans="1:31" s="27" customFormat="1" ht="48.75" customHeight="1">
      <c r="A77" s="10"/>
      <c r="B77" s="5"/>
      <c r="C77" s="5"/>
      <c r="D77" s="5"/>
      <c r="E77" s="10"/>
      <c r="F77" s="10"/>
      <c r="G77" s="10"/>
      <c r="H77" s="12"/>
      <c r="I77" s="12"/>
      <c r="J77" s="12"/>
      <c r="K77" s="12"/>
      <c r="L77" s="12"/>
      <c r="M77" s="12"/>
      <c r="N77" s="10"/>
      <c r="O77" s="10"/>
      <c r="P77" s="10"/>
      <c r="Q77" s="10"/>
      <c r="R77" s="10"/>
      <c r="S77" s="10"/>
      <c r="T77" s="10"/>
      <c r="U77" s="5" t="s">
        <v>739</v>
      </c>
      <c r="V77" s="10">
        <v>70.2</v>
      </c>
      <c r="W77" s="10">
        <v>22</v>
      </c>
      <c r="X77" s="10">
        <v>0.048</v>
      </c>
      <c r="Y77" s="10">
        <v>18</v>
      </c>
      <c r="Z77" s="66">
        <f>X77*V77*Y77*0.0036</f>
        <v>0.21835008</v>
      </c>
      <c r="AA77" s="66">
        <f>X77*W77*Y77*0.0036</f>
        <v>0.06842880000000001</v>
      </c>
      <c r="AB77" s="10">
        <v>30</v>
      </c>
      <c r="AC77" s="10">
        <v>12</v>
      </c>
      <c r="AD77" s="67">
        <f>Z77*AB77*AC77</f>
        <v>78.6060288</v>
      </c>
      <c r="AE77" s="67">
        <f>AA77*AB77*AC77</f>
        <v>24.634368000000006</v>
      </c>
    </row>
    <row r="78" spans="1:31" s="27" customFormat="1" ht="115.5" customHeight="1">
      <c r="A78" s="10">
        <v>54</v>
      </c>
      <c r="B78" s="5" t="s">
        <v>19</v>
      </c>
      <c r="C78" s="5">
        <v>2</v>
      </c>
      <c r="D78" s="5" t="s">
        <v>284</v>
      </c>
      <c r="E78" s="10" t="s">
        <v>292</v>
      </c>
      <c r="F78" s="10" t="s">
        <v>429</v>
      </c>
      <c r="G78" s="6" t="s">
        <v>314</v>
      </c>
      <c r="H78" s="46" t="s">
        <v>902</v>
      </c>
      <c r="I78" s="51">
        <v>43063</v>
      </c>
      <c r="J78" s="51">
        <v>43216</v>
      </c>
      <c r="K78" s="51">
        <v>43235</v>
      </c>
      <c r="L78" s="49" t="s">
        <v>91</v>
      </c>
      <c r="M78" s="51">
        <v>45061</v>
      </c>
      <c r="N78" s="5" t="s">
        <v>58</v>
      </c>
      <c r="O78" s="10" t="s">
        <v>64</v>
      </c>
      <c r="P78" s="10">
        <v>124577.48</v>
      </c>
      <c r="Q78" s="10">
        <v>103079.47</v>
      </c>
      <c r="R78" s="10">
        <v>2557</v>
      </c>
      <c r="S78" s="10" t="s">
        <v>298</v>
      </c>
      <c r="T78" s="10" t="s">
        <v>499</v>
      </c>
      <c r="U78" s="5" t="s">
        <v>794</v>
      </c>
      <c r="V78" s="10"/>
      <c r="W78" s="10"/>
      <c r="X78" s="10"/>
      <c r="Y78" s="10"/>
      <c r="Z78" s="66">
        <f>50*14*4/1000</f>
        <v>2.8</v>
      </c>
      <c r="AA78" s="66">
        <f>50*14*4/1000</f>
        <v>2.8</v>
      </c>
      <c r="AB78" s="10">
        <v>30</v>
      </c>
      <c r="AC78" s="10">
        <v>12</v>
      </c>
      <c r="AD78" s="67">
        <f t="shared" si="9"/>
        <v>1008</v>
      </c>
      <c r="AE78" s="67">
        <f t="shared" si="10"/>
        <v>1008</v>
      </c>
    </row>
    <row r="79" spans="1:31" s="27" customFormat="1" ht="79.5" customHeight="1">
      <c r="A79" s="10">
        <v>55</v>
      </c>
      <c r="B79" s="5" t="s">
        <v>19</v>
      </c>
      <c r="C79" s="5">
        <v>2</v>
      </c>
      <c r="D79" s="5" t="s">
        <v>285</v>
      </c>
      <c r="E79" s="10" t="s">
        <v>633</v>
      </c>
      <c r="F79" s="10" t="s">
        <v>286</v>
      </c>
      <c r="G79" s="5" t="s">
        <v>904</v>
      </c>
      <c r="H79" s="26" t="s">
        <v>432</v>
      </c>
      <c r="I79" s="48">
        <v>43426</v>
      </c>
      <c r="J79" s="12" t="s">
        <v>12</v>
      </c>
      <c r="K79" s="12" t="s">
        <v>12</v>
      </c>
      <c r="L79" s="12" t="s">
        <v>91</v>
      </c>
      <c r="M79" s="12" t="s">
        <v>12</v>
      </c>
      <c r="N79" s="5" t="s">
        <v>58</v>
      </c>
      <c r="O79" s="10" t="s">
        <v>64</v>
      </c>
      <c r="P79" s="10">
        <v>124496.58</v>
      </c>
      <c r="Q79" s="10">
        <v>102810.82</v>
      </c>
      <c r="R79" s="10">
        <v>2558</v>
      </c>
      <c r="S79" s="10" t="s">
        <v>299</v>
      </c>
      <c r="T79" s="10" t="s">
        <v>500</v>
      </c>
      <c r="U79" s="5" t="s">
        <v>804</v>
      </c>
      <c r="V79" s="10">
        <v>88</v>
      </c>
      <c r="W79" s="10">
        <v>52</v>
      </c>
      <c r="X79" s="10">
        <v>0.222</v>
      </c>
      <c r="Y79" s="10">
        <v>18</v>
      </c>
      <c r="Z79" s="9">
        <f aca="true" t="shared" si="13" ref="Z79:Z85">X79*V79*Y79*0.0036</f>
        <v>1.2659328</v>
      </c>
      <c r="AA79" s="9">
        <f>X79*W79*Y79*0.0036</f>
        <v>0.7480512</v>
      </c>
      <c r="AB79" s="10">
        <v>22</v>
      </c>
      <c r="AC79" s="10">
        <v>10</v>
      </c>
      <c r="AD79" s="67">
        <f aca="true" t="shared" si="14" ref="AD79:AD98">Z79*AB79*AC79</f>
        <v>278.505216</v>
      </c>
      <c r="AE79" s="67">
        <f aca="true" t="shared" si="15" ref="AE79:AE98">AA79*AB79*AC79</f>
        <v>164.57126399999999</v>
      </c>
    </row>
    <row r="80" spans="1:31" s="27" customFormat="1" ht="74.25" customHeight="1">
      <c r="A80" s="10">
        <v>56</v>
      </c>
      <c r="B80" s="5" t="s">
        <v>19</v>
      </c>
      <c r="C80" s="5">
        <v>2</v>
      </c>
      <c r="D80" s="5" t="s">
        <v>287</v>
      </c>
      <c r="E80" s="10" t="s">
        <v>293</v>
      </c>
      <c r="F80" s="10" t="s">
        <v>288</v>
      </c>
      <c r="G80" s="10" t="s">
        <v>13</v>
      </c>
      <c r="H80" s="12" t="s">
        <v>80</v>
      </c>
      <c r="I80" s="12" t="s">
        <v>80</v>
      </c>
      <c r="J80" s="12" t="s">
        <v>80</v>
      </c>
      <c r="K80" s="12" t="s">
        <v>80</v>
      </c>
      <c r="L80" s="12" t="s">
        <v>80</v>
      </c>
      <c r="M80" s="12" t="s">
        <v>80</v>
      </c>
      <c r="N80" s="10" t="s">
        <v>58</v>
      </c>
      <c r="O80" s="10" t="s">
        <v>64</v>
      </c>
      <c r="P80" s="10"/>
      <c r="Q80" s="10"/>
      <c r="R80" s="10">
        <v>2557</v>
      </c>
      <c r="S80" s="10" t="s">
        <v>835</v>
      </c>
      <c r="T80" s="10" t="s">
        <v>836</v>
      </c>
      <c r="U80" s="5" t="s">
        <v>740</v>
      </c>
      <c r="V80" s="10">
        <v>24.4</v>
      </c>
      <c r="W80" s="10">
        <v>19.33</v>
      </c>
      <c r="X80" s="10">
        <f>(0.53+0.51+0+0+0)/5</f>
        <v>0.20800000000000002</v>
      </c>
      <c r="Y80" s="10">
        <v>8</v>
      </c>
      <c r="Z80" s="9">
        <f t="shared" si="13"/>
        <v>0.14616575999999998</v>
      </c>
      <c r="AA80" s="9">
        <f aca="true" t="shared" si="16" ref="AA80:AA85">X80*W80*Y80*0.0036</f>
        <v>0.115794432</v>
      </c>
      <c r="AB80" s="10">
        <v>22</v>
      </c>
      <c r="AC80" s="10">
        <v>10</v>
      </c>
      <c r="AD80" s="67">
        <f t="shared" si="14"/>
        <v>32.156467199999994</v>
      </c>
      <c r="AE80" s="67">
        <f t="shared" si="15"/>
        <v>25.47477504</v>
      </c>
    </row>
    <row r="81" spans="1:31" s="27" customFormat="1" ht="80.25" customHeight="1">
      <c r="A81" s="10">
        <v>57</v>
      </c>
      <c r="B81" s="5" t="s">
        <v>19</v>
      </c>
      <c r="C81" s="5">
        <v>2</v>
      </c>
      <c r="D81" s="5" t="s">
        <v>636</v>
      </c>
      <c r="E81" s="10" t="s">
        <v>142</v>
      </c>
      <c r="F81" s="5" t="s">
        <v>830</v>
      </c>
      <c r="G81" s="10" t="s">
        <v>13</v>
      </c>
      <c r="H81" s="12" t="s">
        <v>80</v>
      </c>
      <c r="I81" s="12" t="s">
        <v>80</v>
      </c>
      <c r="J81" s="12" t="s">
        <v>80</v>
      </c>
      <c r="K81" s="12" t="s">
        <v>80</v>
      </c>
      <c r="L81" s="12" t="s">
        <v>80</v>
      </c>
      <c r="M81" s="12" t="s">
        <v>80</v>
      </c>
      <c r="N81" s="10" t="s">
        <v>58</v>
      </c>
      <c r="O81" s="10" t="s">
        <v>64</v>
      </c>
      <c r="P81" s="10">
        <v>118548.12</v>
      </c>
      <c r="Q81" s="10">
        <v>102256.34</v>
      </c>
      <c r="R81" s="10">
        <v>2563</v>
      </c>
      <c r="S81" s="10" t="s">
        <v>143</v>
      </c>
      <c r="T81" s="10" t="s">
        <v>501</v>
      </c>
      <c r="U81" s="15" t="s">
        <v>893</v>
      </c>
      <c r="V81" s="6">
        <v>201</v>
      </c>
      <c r="W81" s="6">
        <v>118</v>
      </c>
      <c r="X81" s="6">
        <v>0.114</v>
      </c>
      <c r="Y81" s="6">
        <v>18</v>
      </c>
      <c r="Z81" s="68">
        <f t="shared" si="13"/>
        <v>1.4848272</v>
      </c>
      <c r="AA81" s="68">
        <f t="shared" si="16"/>
        <v>0.8716896</v>
      </c>
      <c r="AB81" s="6">
        <v>30</v>
      </c>
      <c r="AC81" s="6">
        <v>12</v>
      </c>
      <c r="AD81" s="56">
        <f t="shared" si="14"/>
        <v>534.537792</v>
      </c>
      <c r="AE81" s="56">
        <f t="shared" si="15"/>
        <v>313.808256</v>
      </c>
    </row>
    <row r="82" spans="1:31" s="27" customFormat="1" ht="61.5" customHeight="1">
      <c r="A82" s="6">
        <v>58</v>
      </c>
      <c r="B82" s="5" t="s">
        <v>19</v>
      </c>
      <c r="C82" s="5">
        <v>2</v>
      </c>
      <c r="D82" s="5" t="s">
        <v>135</v>
      </c>
      <c r="E82" s="6" t="s">
        <v>144</v>
      </c>
      <c r="F82" s="15" t="s">
        <v>859</v>
      </c>
      <c r="G82" s="6" t="s">
        <v>13</v>
      </c>
      <c r="H82" s="49" t="s">
        <v>80</v>
      </c>
      <c r="I82" s="49" t="s">
        <v>80</v>
      </c>
      <c r="J82" s="49" t="s">
        <v>80</v>
      </c>
      <c r="K82" s="49" t="s">
        <v>80</v>
      </c>
      <c r="L82" s="49" t="s">
        <v>80</v>
      </c>
      <c r="M82" s="49" t="s">
        <v>80</v>
      </c>
      <c r="N82" s="6" t="s">
        <v>58</v>
      </c>
      <c r="O82" s="6" t="s">
        <v>64</v>
      </c>
      <c r="P82" s="10">
        <v>118922.73</v>
      </c>
      <c r="Q82" s="10">
        <v>102383.92</v>
      </c>
      <c r="R82" s="6">
        <v>2561</v>
      </c>
      <c r="S82" s="6" t="s">
        <v>145</v>
      </c>
      <c r="T82" s="6" t="s">
        <v>502</v>
      </c>
      <c r="U82" s="15" t="s">
        <v>788</v>
      </c>
      <c r="V82" s="6">
        <v>39</v>
      </c>
      <c r="W82" s="6">
        <v>7</v>
      </c>
      <c r="X82" s="9">
        <f>(0+0+0+0+0.036+0.038+0.087+0.104+0.155+0.07+0.073+0.029+0.041+0.036+0+0+0)/17</f>
        <v>0.03935294117647059</v>
      </c>
      <c r="Y82" s="6">
        <v>10</v>
      </c>
      <c r="Z82" s="68">
        <f t="shared" si="13"/>
        <v>0.055251529411764706</v>
      </c>
      <c r="AA82" s="68">
        <f t="shared" si="16"/>
        <v>0.009916941176470588</v>
      </c>
      <c r="AB82" s="6">
        <v>20</v>
      </c>
      <c r="AC82" s="6">
        <v>10</v>
      </c>
      <c r="AD82" s="21">
        <f t="shared" si="14"/>
        <v>11.050305882352943</v>
      </c>
      <c r="AE82" s="21">
        <f t="shared" si="15"/>
        <v>1.9833882352941177</v>
      </c>
    </row>
    <row r="83" spans="1:31" s="27" customFormat="1" ht="63.75" customHeight="1">
      <c r="A83" s="6">
        <v>59</v>
      </c>
      <c r="B83" s="5" t="s">
        <v>19</v>
      </c>
      <c r="C83" s="5">
        <v>2</v>
      </c>
      <c r="D83" s="15" t="s">
        <v>683</v>
      </c>
      <c r="E83" s="6" t="s">
        <v>146</v>
      </c>
      <c r="F83" s="6" t="s">
        <v>684</v>
      </c>
      <c r="G83" s="6" t="s">
        <v>314</v>
      </c>
      <c r="H83" s="46" t="s">
        <v>903</v>
      </c>
      <c r="I83" s="51">
        <v>43004</v>
      </c>
      <c r="J83" s="51">
        <v>43087</v>
      </c>
      <c r="K83" s="51">
        <v>43104</v>
      </c>
      <c r="L83" s="49" t="s">
        <v>91</v>
      </c>
      <c r="M83" s="51">
        <v>44930</v>
      </c>
      <c r="N83" s="6" t="s">
        <v>58</v>
      </c>
      <c r="O83" s="6" t="s">
        <v>64</v>
      </c>
      <c r="P83" s="10">
        <v>118368.24</v>
      </c>
      <c r="Q83" s="10">
        <v>101333.06</v>
      </c>
      <c r="R83" s="6">
        <v>2563</v>
      </c>
      <c r="S83" s="6" t="s">
        <v>147</v>
      </c>
      <c r="T83" s="6" t="s">
        <v>503</v>
      </c>
      <c r="U83" s="5" t="s">
        <v>789</v>
      </c>
      <c r="V83" s="6">
        <v>28</v>
      </c>
      <c r="W83" s="6">
        <v>7</v>
      </c>
      <c r="X83" s="68">
        <v>0.072</v>
      </c>
      <c r="Y83" s="6">
        <v>8</v>
      </c>
      <c r="Z83" s="68">
        <f t="shared" si="13"/>
        <v>0.058060799999999996</v>
      </c>
      <c r="AA83" s="68">
        <f t="shared" si="16"/>
        <v>0.014515199999999999</v>
      </c>
      <c r="AB83" s="6">
        <v>20</v>
      </c>
      <c r="AC83" s="6">
        <v>10</v>
      </c>
      <c r="AD83" s="21">
        <f t="shared" si="14"/>
        <v>11.61216</v>
      </c>
      <c r="AE83" s="21">
        <f t="shared" si="15"/>
        <v>2.90304</v>
      </c>
    </row>
    <row r="84" spans="1:31" s="31" customFormat="1" ht="66.75" customHeight="1">
      <c r="A84" s="10">
        <v>60</v>
      </c>
      <c r="B84" s="5" t="s">
        <v>19</v>
      </c>
      <c r="C84" s="5">
        <v>2</v>
      </c>
      <c r="D84" s="5" t="s">
        <v>136</v>
      </c>
      <c r="E84" s="5" t="s">
        <v>741</v>
      </c>
      <c r="F84" s="10" t="s">
        <v>137</v>
      </c>
      <c r="G84" s="5" t="s">
        <v>904</v>
      </c>
      <c r="H84" s="10">
        <v>3641</v>
      </c>
      <c r="I84" s="13">
        <v>41961</v>
      </c>
      <c r="J84" s="13">
        <v>41963</v>
      </c>
      <c r="K84" s="13">
        <v>41978</v>
      </c>
      <c r="L84" s="10" t="s">
        <v>91</v>
      </c>
      <c r="M84" s="13">
        <v>43803</v>
      </c>
      <c r="N84" s="10" t="s">
        <v>58</v>
      </c>
      <c r="O84" s="10" t="s">
        <v>64</v>
      </c>
      <c r="P84" s="10">
        <v>118236.71</v>
      </c>
      <c r="Q84" s="10">
        <v>101253.53</v>
      </c>
      <c r="R84" s="10">
        <v>2565</v>
      </c>
      <c r="S84" s="10" t="s">
        <v>148</v>
      </c>
      <c r="T84" s="10" t="s">
        <v>504</v>
      </c>
      <c r="U84" s="5" t="s">
        <v>790</v>
      </c>
      <c r="V84" s="10">
        <v>25.3</v>
      </c>
      <c r="W84" s="10">
        <v>44</v>
      </c>
      <c r="X84" s="9">
        <v>0.052</v>
      </c>
      <c r="Y84" s="10">
        <v>10</v>
      </c>
      <c r="Z84" s="9">
        <f t="shared" si="13"/>
        <v>0.0473616</v>
      </c>
      <c r="AA84" s="9">
        <f t="shared" si="16"/>
        <v>0.082368</v>
      </c>
      <c r="AB84" s="10">
        <v>30</v>
      </c>
      <c r="AC84" s="10">
        <v>12</v>
      </c>
      <c r="AD84" s="21">
        <f t="shared" si="14"/>
        <v>17.050176</v>
      </c>
      <c r="AE84" s="21">
        <f t="shared" si="15"/>
        <v>29.652479999999997</v>
      </c>
    </row>
    <row r="85" spans="1:31" s="31" customFormat="1" ht="63" customHeight="1">
      <c r="A85" s="10">
        <v>61</v>
      </c>
      <c r="B85" s="5" t="s">
        <v>19</v>
      </c>
      <c r="C85" s="5">
        <v>2</v>
      </c>
      <c r="D85" s="5" t="s">
        <v>138</v>
      </c>
      <c r="E85" s="10" t="s">
        <v>149</v>
      </c>
      <c r="F85" s="10" t="s">
        <v>436</v>
      </c>
      <c r="G85" s="5" t="s">
        <v>904</v>
      </c>
      <c r="H85" s="26" t="s">
        <v>435</v>
      </c>
      <c r="I85" s="48">
        <v>43276</v>
      </c>
      <c r="J85" s="12" t="s">
        <v>12</v>
      </c>
      <c r="K85" s="12" t="s">
        <v>12</v>
      </c>
      <c r="L85" s="12" t="s">
        <v>91</v>
      </c>
      <c r="M85" s="12" t="s">
        <v>12</v>
      </c>
      <c r="N85" s="10" t="s">
        <v>58</v>
      </c>
      <c r="O85" s="10" t="s">
        <v>64</v>
      </c>
      <c r="P85" s="10">
        <v>118470.57</v>
      </c>
      <c r="Q85" s="10">
        <v>101293.89</v>
      </c>
      <c r="R85" s="10">
        <v>2564</v>
      </c>
      <c r="S85" s="10" t="s">
        <v>150</v>
      </c>
      <c r="T85" s="10" t="s">
        <v>505</v>
      </c>
      <c r="U85" s="5" t="s">
        <v>841</v>
      </c>
      <c r="V85" s="60">
        <v>7</v>
      </c>
      <c r="W85" s="60">
        <v>40</v>
      </c>
      <c r="X85" s="60">
        <f>(0.011+0.011+0.008+0.011+0.01)/5</f>
        <v>0.010199999999999999</v>
      </c>
      <c r="Y85" s="60">
        <v>18</v>
      </c>
      <c r="Z85" s="9">
        <f t="shared" si="13"/>
        <v>0.004626719999999999</v>
      </c>
      <c r="AA85" s="9">
        <f t="shared" si="16"/>
        <v>0.026438399999999997</v>
      </c>
      <c r="AB85" s="10">
        <v>30</v>
      </c>
      <c r="AC85" s="10">
        <v>12</v>
      </c>
      <c r="AD85" s="21">
        <f t="shared" si="14"/>
        <v>1.6656191999999996</v>
      </c>
      <c r="AE85" s="21">
        <f t="shared" si="15"/>
        <v>9.517824</v>
      </c>
    </row>
    <row r="86" spans="1:31" s="31" customFormat="1" ht="95.25" customHeight="1">
      <c r="A86" s="10">
        <v>62</v>
      </c>
      <c r="B86" s="5" t="s">
        <v>19</v>
      </c>
      <c r="C86" s="5">
        <v>2</v>
      </c>
      <c r="D86" s="5" t="s">
        <v>65</v>
      </c>
      <c r="E86" s="10" t="s">
        <v>78</v>
      </c>
      <c r="F86" s="10" t="s">
        <v>14</v>
      </c>
      <c r="G86" s="10" t="s">
        <v>13</v>
      </c>
      <c r="H86" s="12" t="s">
        <v>80</v>
      </c>
      <c r="I86" s="12" t="s">
        <v>80</v>
      </c>
      <c r="J86" s="12" t="s">
        <v>80</v>
      </c>
      <c r="K86" s="12" t="s">
        <v>80</v>
      </c>
      <c r="L86" s="12" t="s">
        <v>80</v>
      </c>
      <c r="M86" s="12" t="s">
        <v>80</v>
      </c>
      <c r="N86" s="10" t="s">
        <v>58</v>
      </c>
      <c r="O86" s="10" t="s">
        <v>64</v>
      </c>
      <c r="P86" s="10">
        <v>119210.99</v>
      </c>
      <c r="Q86" s="10">
        <v>101509.48</v>
      </c>
      <c r="R86" s="10">
        <v>2564</v>
      </c>
      <c r="S86" s="10" t="s">
        <v>79</v>
      </c>
      <c r="T86" s="10" t="s">
        <v>506</v>
      </c>
      <c r="U86" s="5" t="s">
        <v>83</v>
      </c>
      <c r="V86" s="10"/>
      <c r="W86" s="10"/>
      <c r="X86" s="10"/>
      <c r="Y86" s="10"/>
      <c r="Z86" s="7">
        <f>((50*4*4)/1000)</f>
        <v>0.8</v>
      </c>
      <c r="AA86" s="7">
        <f>((50*4*4)/1000)</f>
        <v>0.8</v>
      </c>
      <c r="AB86" s="10">
        <v>30</v>
      </c>
      <c r="AC86" s="10">
        <v>12</v>
      </c>
      <c r="AD86" s="21">
        <f t="shared" si="14"/>
        <v>288</v>
      </c>
      <c r="AE86" s="21">
        <f t="shared" si="15"/>
        <v>288</v>
      </c>
    </row>
    <row r="87" spans="1:31" s="31" customFormat="1" ht="73.5" customHeight="1">
      <c r="A87" s="10">
        <v>63</v>
      </c>
      <c r="B87" s="5" t="s">
        <v>19</v>
      </c>
      <c r="C87" s="5">
        <v>2</v>
      </c>
      <c r="D87" s="5" t="s">
        <v>82</v>
      </c>
      <c r="E87" s="10" t="s">
        <v>81</v>
      </c>
      <c r="F87" s="5" t="s">
        <v>850</v>
      </c>
      <c r="G87" s="10" t="s">
        <v>13</v>
      </c>
      <c r="H87" s="12" t="s">
        <v>80</v>
      </c>
      <c r="I87" s="12" t="s">
        <v>80</v>
      </c>
      <c r="J87" s="12" t="s">
        <v>80</v>
      </c>
      <c r="K87" s="12" t="s">
        <v>80</v>
      </c>
      <c r="L87" s="12" t="s">
        <v>80</v>
      </c>
      <c r="M87" s="12" t="s">
        <v>80</v>
      </c>
      <c r="N87" s="10" t="s">
        <v>58</v>
      </c>
      <c r="O87" s="10" t="s">
        <v>64</v>
      </c>
      <c r="P87" s="10">
        <v>118795.1</v>
      </c>
      <c r="Q87" s="10">
        <v>101510.27</v>
      </c>
      <c r="R87" s="10">
        <v>2562</v>
      </c>
      <c r="S87" s="5" t="s">
        <v>84</v>
      </c>
      <c r="T87" s="5" t="s">
        <v>507</v>
      </c>
      <c r="U87" s="5" t="s">
        <v>851</v>
      </c>
      <c r="V87" s="10">
        <v>4.9</v>
      </c>
      <c r="W87" s="10">
        <v>4</v>
      </c>
      <c r="X87" s="10">
        <v>0.906</v>
      </c>
      <c r="Y87" s="10">
        <v>18</v>
      </c>
      <c r="Z87" s="7">
        <f>X87*V87*Y87*0.0036</f>
        <v>0.28767312000000006</v>
      </c>
      <c r="AA87" s="7">
        <f>X87*W87*Y87*0.0036</f>
        <v>0.2348352</v>
      </c>
      <c r="AB87" s="10">
        <v>30</v>
      </c>
      <c r="AC87" s="10">
        <v>12</v>
      </c>
      <c r="AD87" s="21">
        <f t="shared" si="14"/>
        <v>103.56232320000002</v>
      </c>
      <c r="AE87" s="21">
        <f t="shared" si="15"/>
        <v>84.540672</v>
      </c>
    </row>
    <row r="88" spans="1:31" s="31" customFormat="1" ht="102.75" customHeight="1">
      <c r="A88" s="10">
        <v>64</v>
      </c>
      <c r="B88" s="5" t="s">
        <v>19</v>
      </c>
      <c r="C88" s="5">
        <v>2</v>
      </c>
      <c r="D88" s="5" t="s">
        <v>33</v>
      </c>
      <c r="E88" s="10" t="s">
        <v>85</v>
      </c>
      <c r="F88" s="10" t="s">
        <v>15</v>
      </c>
      <c r="G88" s="10" t="s">
        <v>13</v>
      </c>
      <c r="H88" s="12" t="s">
        <v>80</v>
      </c>
      <c r="I88" s="12" t="s">
        <v>80</v>
      </c>
      <c r="J88" s="12" t="s">
        <v>80</v>
      </c>
      <c r="K88" s="12" t="s">
        <v>80</v>
      </c>
      <c r="L88" s="12" t="s">
        <v>80</v>
      </c>
      <c r="M88" s="12" t="s">
        <v>80</v>
      </c>
      <c r="N88" s="10" t="s">
        <v>58</v>
      </c>
      <c r="O88" s="10" t="s">
        <v>64</v>
      </c>
      <c r="P88" s="10">
        <v>119208.74</v>
      </c>
      <c r="Q88" s="10">
        <v>101689.02</v>
      </c>
      <c r="R88" s="10">
        <v>2562</v>
      </c>
      <c r="S88" s="10" t="s">
        <v>86</v>
      </c>
      <c r="T88" s="10" t="s">
        <v>508</v>
      </c>
      <c r="U88" s="5" t="s">
        <v>742</v>
      </c>
      <c r="V88" s="85"/>
      <c r="W88" s="85"/>
      <c r="X88" s="85"/>
      <c r="Y88" s="85"/>
      <c r="Z88" s="7">
        <f>((50*4*4)/1000)</f>
        <v>0.8</v>
      </c>
      <c r="AA88" s="7">
        <f>((50*4*4)/1000)</f>
        <v>0.8</v>
      </c>
      <c r="AB88" s="10">
        <v>30</v>
      </c>
      <c r="AC88" s="10">
        <v>12</v>
      </c>
      <c r="AD88" s="21">
        <f t="shared" si="14"/>
        <v>288</v>
      </c>
      <c r="AE88" s="21">
        <f t="shared" si="15"/>
        <v>288</v>
      </c>
    </row>
    <row r="89" spans="1:31" s="31" customFormat="1" ht="102" customHeight="1">
      <c r="A89" s="10">
        <v>65</v>
      </c>
      <c r="B89" s="5" t="s">
        <v>19</v>
      </c>
      <c r="C89" s="5">
        <v>2</v>
      </c>
      <c r="D89" s="5" t="s">
        <v>87</v>
      </c>
      <c r="E89" s="10" t="s">
        <v>88</v>
      </c>
      <c r="F89" s="10" t="s">
        <v>430</v>
      </c>
      <c r="G89" s="10" t="s">
        <v>13</v>
      </c>
      <c r="H89" s="12" t="s">
        <v>80</v>
      </c>
      <c r="I89" s="12" t="s">
        <v>80</v>
      </c>
      <c r="J89" s="12" t="s">
        <v>80</v>
      </c>
      <c r="K89" s="12" t="s">
        <v>80</v>
      </c>
      <c r="L89" s="12" t="s">
        <v>80</v>
      </c>
      <c r="M89" s="12" t="s">
        <v>80</v>
      </c>
      <c r="N89" s="10" t="s">
        <v>58</v>
      </c>
      <c r="O89" s="10" t="s">
        <v>64</v>
      </c>
      <c r="P89" s="10">
        <v>118876.84</v>
      </c>
      <c r="Q89" s="10">
        <v>101584.25</v>
      </c>
      <c r="R89" s="10">
        <v>2563</v>
      </c>
      <c r="S89" s="10" t="s">
        <v>89</v>
      </c>
      <c r="T89" s="10" t="s">
        <v>509</v>
      </c>
      <c r="U89" s="5" t="s">
        <v>849</v>
      </c>
      <c r="V89" s="10">
        <v>29</v>
      </c>
      <c r="W89" s="10">
        <v>58</v>
      </c>
      <c r="X89" s="10">
        <f>(0.56+0.11+2.08+0.93+0.07)/5</f>
        <v>0.75</v>
      </c>
      <c r="Y89" s="10">
        <v>18</v>
      </c>
      <c r="Z89" s="7">
        <f>X89*V89*Y89*0.0036</f>
        <v>1.4094</v>
      </c>
      <c r="AA89" s="7">
        <f>X89*W89*Y89*0.0036</f>
        <v>2.8188</v>
      </c>
      <c r="AB89" s="10">
        <v>30</v>
      </c>
      <c r="AC89" s="10">
        <v>12</v>
      </c>
      <c r="AD89" s="21">
        <f t="shared" si="14"/>
        <v>507.38399999999996</v>
      </c>
      <c r="AE89" s="21">
        <f t="shared" si="15"/>
        <v>1014.7679999999999</v>
      </c>
    </row>
    <row r="90" spans="1:31" s="31" customFormat="1" ht="57.75" customHeight="1">
      <c r="A90" s="141">
        <v>66</v>
      </c>
      <c r="B90" s="144" t="s">
        <v>19</v>
      </c>
      <c r="C90" s="144">
        <v>2</v>
      </c>
      <c r="D90" s="144" t="s">
        <v>21</v>
      </c>
      <c r="E90" s="141" t="s">
        <v>90</v>
      </c>
      <c r="F90" s="141" t="s">
        <v>16</v>
      </c>
      <c r="G90" s="141" t="s">
        <v>904</v>
      </c>
      <c r="H90" s="151">
        <v>1614</v>
      </c>
      <c r="I90" s="142">
        <v>42674</v>
      </c>
      <c r="J90" s="142">
        <v>42955</v>
      </c>
      <c r="K90" s="142">
        <v>42971</v>
      </c>
      <c r="L90" s="151" t="s">
        <v>91</v>
      </c>
      <c r="M90" s="142">
        <v>44431</v>
      </c>
      <c r="N90" s="141" t="s">
        <v>58</v>
      </c>
      <c r="O90" s="141" t="s">
        <v>64</v>
      </c>
      <c r="P90" s="10">
        <v>118569.61</v>
      </c>
      <c r="Q90" s="10">
        <v>102094.8</v>
      </c>
      <c r="R90" s="10">
        <v>2562</v>
      </c>
      <c r="S90" s="10" t="s">
        <v>151</v>
      </c>
      <c r="T90" s="10" t="s">
        <v>510</v>
      </c>
      <c r="U90" s="5" t="s">
        <v>743</v>
      </c>
      <c r="V90" s="6">
        <v>88</v>
      </c>
      <c r="W90" s="6">
        <v>82</v>
      </c>
      <c r="X90" s="68">
        <f>((0+0.925+0+0+1.142+0+0+1.024+0)/9)</f>
        <v>0.34344444444444444</v>
      </c>
      <c r="Y90" s="6">
        <v>8</v>
      </c>
      <c r="Z90" s="68">
        <f>X90*V90*Y90*0.0036</f>
        <v>0.8704255999999999</v>
      </c>
      <c r="AA90" s="68">
        <f>X90*W90*Y90*0.0036</f>
        <v>0.8110784</v>
      </c>
      <c r="AB90" s="6">
        <v>24</v>
      </c>
      <c r="AC90" s="6">
        <v>10</v>
      </c>
      <c r="AD90" s="56">
        <f t="shared" si="14"/>
        <v>208.90214399999996</v>
      </c>
      <c r="AE90" s="56">
        <f t="shared" si="15"/>
        <v>194.658816</v>
      </c>
    </row>
    <row r="91" spans="1:31" s="31" customFormat="1" ht="63.75" customHeight="1">
      <c r="A91" s="141"/>
      <c r="B91" s="144"/>
      <c r="C91" s="144"/>
      <c r="D91" s="144"/>
      <c r="E91" s="141"/>
      <c r="F91" s="141"/>
      <c r="G91" s="141"/>
      <c r="H91" s="151"/>
      <c r="I91" s="141"/>
      <c r="J91" s="141"/>
      <c r="K91" s="141"/>
      <c r="L91" s="141"/>
      <c r="M91" s="141"/>
      <c r="N91" s="141"/>
      <c r="O91" s="141"/>
      <c r="P91" s="10">
        <v>118486.66</v>
      </c>
      <c r="Q91" s="10">
        <v>102222.44</v>
      </c>
      <c r="R91" s="10">
        <v>2562</v>
      </c>
      <c r="S91" s="10" t="s">
        <v>152</v>
      </c>
      <c r="T91" s="5" t="s">
        <v>511</v>
      </c>
      <c r="U91" s="5" t="s">
        <v>795</v>
      </c>
      <c r="V91" s="6">
        <v>75</v>
      </c>
      <c r="W91" s="6">
        <v>74</v>
      </c>
      <c r="X91" s="68">
        <f>((0+0+0+0.71+0+0+0+0+0)/9)</f>
        <v>0.07888888888888888</v>
      </c>
      <c r="Y91" s="6">
        <v>8</v>
      </c>
      <c r="Z91" s="68">
        <f>X91*V91*Y91*0.0036</f>
        <v>0.17039999999999997</v>
      </c>
      <c r="AA91" s="68">
        <f>X91*W91*Y91*0.0036</f>
        <v>0.16812799999999997</v>
      </c>
      <c r="AB91" s="6">
        <v>24</v>
      </c>
      <c r="AC91" s="6">
        <v>10</v>
      </c>
      <c r="AD91" s="56">
        <f t="shared" si="14"/>
        <v>40.89599999999999</v>
      </c>
      <c r="AE91" s="56">
        <f t="shared" si="15"/>
        <v>40.350719999999995</v>
      </c>
    </row>
    <row r="92" spans="1:31" s="31" customFormat="1" ht="123.75" customHeight="1">
      <c r="A92" s="10">
        <v>67</v>
      </c>
      <c r="B92" s="5" t="s">
        <v>19</v>
      </c>
      <c r="C92" s="5">
        <v>2</v>
      </c>
      <c r="D92" s="5" t="s">
        <v>744</v>
      </c>
      <c r="E92" s="10" t="s">
        <v>92</v>
      </c>
      <c r="F92" s="10" t="s">
        <v>17</v>
      </c>
      <c r="G92" s="10" t="s">
        <v>904</v>
      </c>
      <c r="H92" s="26" t="s">
        <v>423</v>
      </c>
      <c r="I92" s="48">
        <v>43175</v>
      </c>
      <c r="J92" s="48">
        <v>43195</v>
      </c>
      <c r="K92" s="48">
        <v>43210</v>
      </c>
      <c r="L92" s="12" t="s">
        <v>91</v>
      </c>
      <c r="M92" s="48">
        <v>45035</v>
      </c>
      <c r="N92" s="5" t="s">
        <v>58</v>
      </c>
      <c r="O92" s="10" t="s">
        <v>64</v>
      </c>
      <c r="P92" s="10">
        <v>117805.04</v>
      </c>
      <c r="Q92" s="10">
        <v>101948.77</v>
      </c>
      <c r="R92" s="10">
        <v>2563</v>
      </c>
      <c r="S92" s="10" t="s">
        <v>94</v>
      </c>
      <c r="T92" s="10" t="s">
        <v>512</v>
      </c>
      <c r="U92" s="5" t="s">
        <v>745</v>
      </c>
      <c r="V92" s="85"/>
      <c r="W92" s="85"/>
      <c r="X92" s="85"/>
      <c r="Y92" s="85"/>
      <c r="Z92" s="7">
        <f>((50*149*1)/1000)/3</f>
        <v>2.4833333333333334</v>
      </c>
      <c r="AA92" s="7">
        <f>((50*149*1)/1000)/3</f>
        <v>2.4833333333333334</v>
      </c>
      <c r="AB92" s="10">
        <v>22</v>
      </c>
      <c r="AC92" s="10">
        <v>10</v>
      </c>
      <c r="AD92" s="21">
        <f t="shared" si="14"/>
        <v>546.3333333333334</v>
      </c>
      <c r="AE92" s="21">
        <f t="shared" si="15"/>
        <v>546.3333333333334</v>
      </c>
    </row>
    <row r="93" spans="1:31" s="31" customFormat="1" ht="37.5" customHeight="1">
      <c r="A93" s="137">
        <v>68</v>
      </c>
      <c r="B93" s="135" t="s">
        <v>19</v>
      </c>
      <c r="C93" s="135">
        <v>2</v>
      </c>
      <c r="D93" s="135" t="s">
        <v>34</v>
      </c>
      <c r="E93" s="137" t="s">
        <v>93</v>
      </c>
      <c r="F93" s="135" t="s">
        <v>860</v>
      </c>
      <c r="G93" s="137" t="s">
        <v>13</v>
      </c>
      <c r="H93" s="139" t="s">
        <v>80</v>
      </c>
      <c r="I93" s="139" t="s">
        <v>80</v>
      </c>
      <c r="J93" s="139" t="s">
        <v>80</v>
      </c>
      <c r="K93" s="139" t="s">
        <v>80</v>
      </c>
      <c r="L93" s="139" t="s">
        <v>80</v>
      </c>
      <c r="M93" s="139" t="s">
        <v>80</v>
      </c>
      <c r="N93" s="135" t="s">
        <v>58</v>
      </c>
      <c r="O93" s="10" t="s">
        <v>747</v>
      </c>
      <c r="P93" s="10">
        <v>118484.79</v>
      </c>
      <c r="Q93" s="10">
        <v>101996.78</v>
      </c>
      <c r="R93" s="10">
        <v>2563</v>
      </c>
      <c r="S93" s="10" t="s">
        <v>95</v>
      </c>
      <c r="T93" s="10" t="s">
        <v>513</v>
      </c>
      <c r="U93" s="135" t="s">
        <v>746</v>
      </c>
      <c r="V93" s="60">
        <v>10</v>
      </c>
      <c r="W93" s="60">
        <v>5</v>
      </c>
      <c r="X93" s="60">
        <v>0.026</v>
      </c>
      <c r="Y93" s="60">
        <v>18</v>
      </c>
      <c r="Z93" s="9">
        <f>X93*V93*Y93*0.0036</f>
        <v>0.016848</v>
      </c>
      <c r="AA93" s="9">
        <f>X93*W93*Y93*0.0036</f>
        <v>0.008424</v>
      </c>
      <c r="AB93" s="60">
        <v>30</v>
      </c>
      <c r="AC93" s="60">
        <v>12</v>
      </c>
      <c r="AD93" s="113">
        <f t="shared" si="14"/>
        <v>6.06528</v>
      </c>
      <c r="AE93" s="113">
        <f t="shared" si="15"/>
        <v>3.03264</v>
      </c>
    </row>
    <row r="94" spans="1:31" s="31" customFormat="1" ht="36.75" customHeight="1">
      <c r="A94" s="138"/>
      <c r="B94" s="136"/>
      <c r="C94" s="136"/>
      <c r="D94" s="136"/>
      <c r="E94" s="138"/>
      <c r="F94" s="136"/>
      <c r="G94" s="138"/>
      <c r="H94" s="140"/>
      <c r="I94" s="140"/>
      <c r="J94" s="140"/>
      <c r="K94" s="140"/>
      <c r="L94" s="140"/>
      <c r="M94" s="140"/>
      <c r="N94" s="136"/>
      <c r="O94" s="10" t="s">
        <v>748</v>
      </c>
      <c r="P94" s="10">
        <v>118484.79</v>
      </c>
      <c r="Q94" s="10">
        <v>101996.78</v>
      </c>
      <c r="R94" s="10">
        <v>2563</v>
      </c>
      <c r="S94" s="10" t="s">
        <v>95</v>
      </c>
      <c r="T94" s="10" t="s">
        <v>513</v>
      </c>
      <c r="U94" s="136"/>
      <c r="V94" s="60">
        <v>17</v>
      </c>
      <c r="W94" s="60">
        <v>9</v>
      </c>
      <c r="X94" s="60">
        <v>0.019</v>
      </c>
      <c r="Y94" s="60">
        <v>18</v>
      </c>
      <c r="Z94" s="9">
        <f>X94*V94*Y94*0.0036</f>
        <v>0.0209304</v>
      </c>
      <c r="AA94" s="9">
        <f>X94*W94*Y94*0.0036</f>
        <v>0.011080799999999998</v>
      </c>
      <c r="AB94" s="60">
        <v>30</v>
      </c>
      <c r="AC94" s="60">
        <v>12</v>
      </c>
      <c r="AD94" s="113">
        <f t="shared" si="14"/>
        <v>7.534943999999999</v>
      </c>
      <c r="AE94" s="113">
        <f t="shared" si="15"/>
        <v>3.9890879999999993</v>
      </c>
    </row>
    <row r="95" spans="1:31" s="29" customFormat="1" ht="99" customHeight="1">
      <c r="A95" s="6">
        <v>69</v>
      </c>
      <c r="B95" s="5" t="s">
        <v>19</v>
      </c>
      <c r="C95" s="5">
        <v>2</v>
      </c>
      <c r="D95" s="5" t="s">
        <v>35</v>
      </c>
      <c r="E95" s="6" t="s">
        <v>96</v>
      </c>
      <c r="F95" s="6" t="s">
        <v>374</v>
      </c>
      <c r="G95" s="6" t="s">
        <v>13</v>
      </c>
      <c r="H95" s="49" t="s">
        <v>80</v>
      </c>
      <c r="I95" s="49" t="s">
        <v>80</v>
      </c>
      <c r="J95" s="49" t="s">
        <v>80</v>
      </c>
      <c r="K95" s="49" t="s">
        <v>80</v>
      </c>
      <c r="L95" s="49" t="s">
        <v>80</v>
      </c>
      <c r="M95" s="49" t="s">
        <v>80</v>
      </c>
      <c r="N95" s="5" t="s">
        <v>58</v>
      </c>
      <c r="O95" s="6" t="s">
        <v>64</v>
      </c>
      <c r="P95" s="10">
        <v>119096.86</v>
      </c>
      <c r="Q95" s="10">
        <v>101530.27</v>
      </c>
      <c r="R95" s="6">
        <v>2562</v>
      </c>
      <c r="S95" s="6" t="s">
        <v>66</v>
      </c>
      <c r="T95" s="6" t="s">
        <v>514</v>
      </c>
      <c r="U95" s="15" t="s">
        <v>796</v>
      </c>
      <c r="V95" s="72"/>
      <c r="W95" s="72"/>
      <c r="X95" s="72"/>
      <c r="Y95" s="72"/>
      <c r="Z95" s="7">
        <f>((50*4*3)/1000)</f>
        <v>0.6</v>
      </c>
      <c r="AA95" s="7">
        <f>((50*4*3)/1000)</f>
        <v>0.6</v>
      </c>
      <c r="AB95" s="6">
        <v>30</v>
      </c>
      <c r="AC95" s="6">
        <v>12</v>
      </c>
      <c r="AD95" s="21">
        <f t="shared" si="14"/>
        <v>216</v>
      </c>
      <c r="AE95" s="21">
        <f t="shared" si="15"/>
        <v>216</v>
      </c>
    </row>
    <row r="96" spans="1:31" s="29" customFormat="1" ht="60" customHeight="1">
      <c r="A96" s="10">
        <v>70</v>
      </c>
      <c r="B96" s="5" t="s">
        <v>19</v>
      </c>
      <c r="C96" s="5">
        <v>2</v>
      </c>
      <c r="D96" s="5" t="s">
        <v>36</v>
      </c>
      <c r="E96" s="10" t="s">
        <v>97</v>
      </c>
      <c r="F96" s="5" t="s">
        <v>827</v>
      </c>
      <c r="G96" s="10" t="s">
        <v>13</v>
      </c>
      <c r="H96" s="12" t="s">
        <v>80</v>
      </c>
      <c r="I96" s="12" t="s">
        <v>80</v>
      </c>
      <c r="J96" s="12" t="s">
        <v>80</v>
      </c>
      <c r="K96" s="12" t="s">
        <v>80</v>
      </c>
      <c r="L96" s="12" t="s">
        <v>80</v>
      </c>
      <c r="M96" s="12" t="s">
        <v>80</v>
      </c>
      <c r="N96" s="5" t="s">
        <v>58</v>
      </c>
      <c r="O96" s="10" t="s">
        <v>64</v>
      </c>
      <c r="P96" s="10"/>
      <c r="Q96" s="10"/>
      <c r="R96" s="10">
        <v>2562</v>
      </c>
      <c r="S96" s="10" t="s">
        <v>828</v>
      </c>
      <c r="T96" s="10" t="s">
        <v>829</v>
      </c>
      <c r="U96" s="5" t="s">
        <v>749</v>
      </c>
      <c r="V96" s="10">
        <v>63</v>
      </c>
      <c r="W96" s="10">
        <v>20</v>
      </c>
      <c r="X96" s="9">
        <v>0.32</v>
      </c>
      <c r="Y96" s="10">
        <v>8</v>
      </c>
      <c r="Z96" s="9">
        <f>X96*V96*Y96*0.0036</f>
        <v>0.580608</v>
      </c>
      <c r="AA96" s="9">
        <f>X96*W96*Y96*0.0036</f>
        <v>0.18432</v>
      </c>
      <c r="AB96" s="10">
        <v>30</v>
      </c>
      <c r="AC96" s="10">
        <v>12</v>
      </c>
      <c r="AD96" s="21">
        <f t="shared" si="14"/>
        <v>209.01888000000002</v>
      </c>
      <c r="AE96" s="21">
        <f t="shared" si="15"/>
        <v>66.3552</v>
      </c>
    </row>
    <row r="97" spans="1:31" s="31" customFormat="1" ht="57" customHeight="1">
      <c r="A97" s="10">
        <v>71</v>
      </c>
      <c r="B97" s="5" t="s">
        <v>19</v>
      </c>
      <c r="C97" s="5">
        <v>2</v>
      </c>
      <c r="D97" s="5" t="s">
        <v>750</v>
      </c>
      <c r="E97" s="10" t="s">
        <v>98</v>
      </c>
      <c r="F97" s="10" t="s">
        <v>67</v>
      </c>
      <c r="G97" s="10" t="s">
        <v>13</v>
      </c>
      <c r="H97" s="12" t="s">
        <v>80</v>
      </c>
      <c r="I97" s="12" t="s">
        <v>80</v>
      </c>
      <c r="J97" s="12" t="s">
        <v>80</v>
      </c>
      <c r="K97" s="12" t="s">
        <v>80</v>
      </c>
      <c r="L97" s="12" t="s">
        <v>80</v>
      </c>
      <c r="M97" s="12" t="s">
        <v>80</v>
      </c>
      <c r="N97" s="5" t="s">
        <v>58</v>
      </c>
      <c r="O97" s="10" t="s">
        <v>64</v>
      </c>
      <c r="P97" s="10">
        <v>119128.21</v>
      </c>
      <c r="Q97" s="10">
        <v>101526.26</v>
      </c>
      <c r="R97" s="10">
        <v>2562</v>
      </c>
      <c r="S97" s="10" t="s">
        <v>99</v>
      </c>
      <c r="T97" s="10" t="s">
        <v>515</v>
      </c>
      <c r="U97" s="5" t="s">
        <v>751</v>
      </c>
      <c r="V97" s="60">
        <v>142</v>
      </c>
      <c r="W97" s="60">
        <v>67</v>
      </c>
      <c r="X97" s="105">
        <f>(0.588+0.584+0.573+0.552+0.562+0+0+0+0.582+0.547+0+0+0+0+0+0+0+0+0.585+0+0.58+0.576+0.573+0+0+0+0+0+0+0+0+0+0)/33</f>
        <v>0.19096969696969696</v>
      </c>
      <c r="Y97" s="60">
        <v>18</v>
      </c>
      <c r="Z97" s="9">
        <f>X97*V97*Y97*0.0036</f>
        <v>1.7572267636363634</v>
      </c>
      <c r="AA97" s="9">
        <f>X97*W97*Y97*0.0036</f>
        <v>0.8291140363636363</v>
      </c>
      <c r="AB97" s="10">
        <v>30</v>
      </c>
      <c r="AC97" s="10">
        <v>12</v>
      </c>
      <c r="AD97" s="21">
        <f t="shared" si="14"/>
        <v>632.6016349090908</v>
      </c>
      <c r="AE97" s="21">
        <f t="shared" si="15"/>
        <v>298.4810530909091</v>
      </c>
    </row>
    <row r="98" spans="1:31" s="31" customFormat="1" ht="131.25" customHeight="1">
      <c r="A98" s="10">
        <v>72</v>
      </c>
      <c r="B98" s="5" t="s">
        <v>19</v>
      </c>
      <c r="C98" s="5">
        <v>2</v>
      </c>
      <c r="D98" s="5" t="s">
        <v>38</v>
      </c>
      <c r="E98" s="10" t="s">
        <v>100</v>
      </c>
      <c r="F98" s="10" t="s">
        <v>37</v>
      </c>
      <c r="G98" s="10" t="s">
        <v>13</v>
      </c>
      <c r="H98" s="12" t="s">
        <v>80</v>
      </c>
      <c r="I98" s="12" t="s">
        <v>80</v>
      </c>
      <c r="J98" s="12" t="s">
        <v>80</v>
      </c>
      <c r="K98" s="12" t="s">
        <v>80</v>
      </c>
      <c r="L98" s="12" t="s">
        <v>80</v>
      </c>
      <c r="M98" s="12" t="s">
        <v>80</v>
      </c>
      <c r="N98" s="5" t="s">
        <v>58</v>
      </c>
      <c r="O98" s="10" t="s">
        <v>64</v>
      </c>
      <c r="P98" s="10">
        <v>118754.59</v>
      </c>
      <c r="Q98" s="10">
        <v>101992.73</v>
      </c>
      <c r="R98" s="10">
        <v>2561</v>
      </c>
      <c r="S98" s="10" t="s">
        <v>101</v>
      </c>
      <c r="T98" s="10" t="s">
        <v>516</v>
      </c>
      <c r="U98" s="5" t="s">
        <v>752</v>
      </c>
      <c r="V98" s="10"/>
      <c r="W98" s="10"/>
      <c r="X98" s="9"/>
      <c r="Y98" s="10"/>
      <c r="Z98" s="9">
        <f>(50*4*4)/1000</f>
        <v>0.8</v>
      </c>
      <c r="AA98" s="9">
        <f>(50*4*4)/1000</f>
        <v>0.8</v>
      </c>
      <c r="AB98" s="10">
        <v>30</v>
      </c>
      <c r="AC98" s="10">
        <v>12</v>
      </c>
      <c r="AD98" s="21">
        <f t="shared" si="14"/>
        <v>288</v>
      </c>
      <c r="AE98" s="21">
        <f t="shared" si="15"/>
        <v>288</v>
      </c>
    </row>
    <row r="99" spans="1:31" s="29" customFormat="1" ht="15" customHeight="1">
      <c r="A99" s="35"/>
      <c r="B99" s="36"/>
      <c r="C99" s="36"/>
      <c r="D99" s="37"/>
      <c r="E99" s="35"/>
      <c r="F99" s="44"/>
      <c r="G99" s="44"/>
      <c r="H99" s="44"/>
      <c r="I99" s="52"/>
      <c r="J99" s="52"/>
      <c r="K99" s="52"/>
      <c r="L99" s="44"/>
      <c r="M99" s="53"/>
      <c r="N99" s="25"/>
      <c r="O99" s="25"/>
      <c r="P99" s="59"/>
      <c r="Q99" s="59"/>
      <c r="R99" s="25"/>
      <c r="S99" s="59"/>
      <c r="T99" s="59"/>
      <c r="U99" s="38"/>
      <c r="V99" s="32"/>
      <c r="W99" s="32"/>
      <c r="X99" s="32"/>
      <c r="Y99" s="32"/>
      <c r="Z99" s="33"/>
      <c r="AA99" s="33"/>
      <c r="AB99" s="32"/>
      <c r="AC99" s="32"/>
      <c r="AD99" s="34"/>
      <c r="AE99" s="34"/>
    </row>
    <row r="100" spans="1:31" s="31" customFormat="1" ht="45" customHeight="1">
      <c r="A100" s="11">
        <v>1</v>
      </c>
      <c r="B100" s="11" t="s">
        <v>335</v>
      </c>
      <c r="C100" s="11">
        <v>2</v>
      </c>
      <c r="D100" s="11" t="s">
        <v>350</v>
      </c>
      <c r="E100" s="11" t="s">
        <v>618</v>
      </c>
      <c r="F100" s="14" t="s">
        <v>20</v>
      </c>
      <c r="G100" s="99" t="s">
        <v>13</v>
      </c>
      <c r="H100" s="99" t="s">
        <v>80</v>
      </c>
      <c r="I100" s="99" t="s">
        <v>80</v>
      </c>
      <c r="J100" s="99" t="s">
        <v>80</v>
      </c>
      <c r="K100" s="99" t="s">
        <v>80</v>
      </c>
      <c r="L100" s="99" t="s">
        <v>80</v>
      </c>
      <c r="M100" s="99" t="s">
        <v>80</v>
      </c>
      <c r="N100" s="14" t="s">
        <v>351</v>
      </c>
      <c r="O100" s="11" t="s">
        <v>352</v>
      </c>
      <c r="P100" s="41">
        <v>91916.11</v>
      </c>
      <c r="Q100" s="41">
        <v>94384.42</v>
      </c>
      <c r="R100" s="11">
        <v>2719</v>
      </c>
      <c r="S100" s="6" t="s">
        <v>912</v>
      </c>
      <c r="T100" s="6" t="s">
        <v>913</v>
      </c>
      <c r="U100" s="107" t="s">
        <v>892</v>
      </c>
      <c r="V100" s="98"/>
      <c r="W100" s="98"/>
      <c r="X100" s="118">
        <v>20.81</v>
      </c>
      <c r="Y100" s="118"/>
      <c r="Z100" s="119"/>
      <c r="AA100" s="119"/>
      <c r="AB100" s="118">
        <v>30</v>
      </c>
      <c r="AC100" s="118">
        <v>12</v>
      </c>
      <c r="AD100" s="106">
        <v>3173504.315593846</v>
      </c>
      <c r="AE100" s="106">
        <v>629248.825993846</v>
      </c>
    </row>
    <row r="101" spans="1:31" s="29" customFormat="1" ht="52.5" customHeight="1">
      <c r="A101" s="6">
        <v>2</v>
      </c>
      <c r="B101" s="6" t="s">
        <v>335</v>
      </c>
      <c r="C101" s="6">
        <v>2</v>
      </c>
      <c r="D101" s="15" t="s">
        <v>353</v>
      </c>
      <c r="E101" s="15" t="s">
        <v>911</v>
      </c>
      <c r="F101" s="15" t="s">
        <v>440</v>
      </c>
      <c r="G101" s="6" t="s">
        <v>13</v>
      </c>
      <c r="H101" s="49" t="s">
        <v>80</v>
      </c>
      <c r="I101" s="49" t="s">
        <v>80</v>
      </c>
      <c r="J101" s="49" t="s">
        <v>80</v>
      </c>
      <c r="K101" s="49" t="s">
        <v>80</v>
      </c>
      <c r="L101" s="49" t="s">
        <v>80</v>
      </c>
      <c r="M101" s="49" t="s">
        <v>80</v>
      </c>
      <c r="N101" s="6" t="s">
        <v>351</v>
      </c>
      <c r="O101" s="6" t="s">
        <v>64</v>
      </c>
      <c r="P101" s="41">
        <v>90312.62</v>
      </c>
      <c r="Q101" s="41">
        <v>92659.3</v>
      </c>
      <c r="R101" s="6">
        <v>2841</v>
      </c>
      <c r="S101" s="6" t="s">
        <v>914</v>
      </c>
      <c r="T101" s="6" t="s">
        <v>915</v>
      </c>
      <c r="U101" s="15" t="s">
        <v>753</v>
      </c>
      <c r="V101" s="6">
        <v>159</v>
      </c>
      <c r="W101" s="6">
        <v>177</v>
      </c>
      <c r="X101" s="6">
        <v>1.6</v>
      </c>
      <c r="Y101" s="6">
        <v>24</v>
      </c>
      <c r="Z101" s="87">
        <f>X101*V101*Y101*0.0036</f>
        <v>21.98016</v>
      </c>
      <c r="AA101" s="87">
        <f>X101*W101*Y101*0.0036</f>
        <v>24.468479999999996</v>
      </c>
      <c r="AB101" s="117">
        <v>30</v>
      </c>
      <c r="AC101" s="117">
        <v>12</v>
      </c>
      <c r="AD101" s="74">
        <f>Z101*AB101*AC101</f>
        <v>7912.8576</v>
      </c>
      <c r="AE101" s="74">
        <f>AA101*AB101*AC101</f>
        <v>8808.652799999998</v>
      </c>
    </row>
    <row r="102" spans="1:31" ht="54" customHeight="1">
      <c r="A102" s="6">
        <v>3</v>
      </c>
      <c r="B102" s="6" t="s">
        <v>335</v>
      </c>
      <c r="C102" s="6">
        <v>2</v>
      </c>
      <c r="D102" s="15" t="s">
        <v>354</v>
      </c>
      <c r="E102" s="6" t="s">
        <v>372</v>
      </c>
      <c r="F102" s="15" t="s">
        <v>355</v>
      </c>
      <c r="G102" s="6" t="s">
        <v>13</v>
      </c>
      <c r="H102" s="49" t="s">
        <v>80</v>
      </c>
      <c r="I102" s="49" t="s">
        <v>80</v>
      </c>
      <c r="J102" s="49" t="s">
        <v>80</v>
      </c>
      <c r="K102" s="49" t="s">
        <v>80</v>
      </c>
      <c r="L102" s="49" t="s">
        <v>80</v>
      </c>
      <c r="M102" s="49" t="s">
        <v>80</v>
      </c>
      <c r="N102" s="5" t="s">
        <v>58</v>
      </c>
      <c r="O102" s="6" t="s">
        <v>64</v>
      </c>
      <c r="P102" s="6">
        <v>93017.77</v>
      </c>
      <c r="Q102" s="6">
        <v>94666.56</v>
      </c>
      <c r="R102" s="6">
        <v>2585</v>
      </c>
      <c r="S102" s="6" t="s">
        <v>585</v>
      </c>
      <c r="T102" s="6" t="s">
        <v>584</v>
      </c>
      <c r="U102" s="15" t="s">
        <v>619</v>
      </c>
      <c r="V102" s="6">
        <v>8.73</v>
      </c>
      <c r="W102" s="6">
        <v>64</v>
      </c>
      <c r="X102" s="86">
        <f>3.89/9</f>
        <v>0.43222222222222223</v>
      </c>
      <c r="Y102" s="6">
        <v>12</v>
      </c>
      <c r="Z102" s="121">
        <f>X102*V102*Y102*0.0036</f>
        <v>0.16300656</v>
      </c>
      <c r="AA102" s="121">
        <f>X102*W102*Y102*0.0036</f>
        <v>1.1950079999999998</v>
      </c>
      <c r="AB102" s="69">
        <v>30</v>
      </c>
      <c r="AC102" s="69">
        <v>12</v>
      </c>
      <c r="AD102" s="56">
        <f>Z102*AB102*AC102</f>
        <v>58.6823616</v>
      </c>
      <c r="AE102" s="56">
        <f>AA102*AB102*AC102</f>
        <v>430.20287999999994</v>
      </c>
    </row>
    <row r="104" spans="29:31" ht="12.75">
      <c r="AC104" s="3" t="s">
        <v>917</v>
      </c>
      <c r="AD104" s="123">
        <f>SUM(AD3,AD6:AD7,AD10:AD12,AD15:AD26,AD29:AD31,AD34:AD49,AD52:AD53,AD56,AD58:AD71,AD74:AD75,AD78:AD98)</f>
        <v>27906.757947247326</v>
      </c>
      <c r="AE104" s="123">
        <f>SUM(AE3,AE6:AE7,AE10:AE12,AE15:AE26,AE29:AE31,AE34:AE49,AE52:AE53,AE56,AE58:AE71,AE74:AE75,AE78:AE98)</f>
        <v>31432.78277739955</v>
      </c>
    </row>
    <row r="105" spans="29:31" ht="12.75">
      <c r="AC105" s="22" t="s">
        <v>919</v>
      </c>
      <c r="AD105" s="124">
        <f>SUM(AD100:AD102)</f>
        <v>3181475.8555554464</v>
      </c>
      <c r="AE105" s="124">
        <f>SUM(AE100:AE102)</f>
        <v>638487.6816738461</v>
      </c>
    </row>
    <row r="106" spans="24:31" ht="12.75">
      <c r="X106" s="24">
        <f>X100+X101+X102</f>
        <v>22.842222222222222</v>
      </c>
      <c r="AC106" s="24"/>
      <c r="AD106" s="125"/>
      <c r="AE106" s="125"/>
    </row>
    <row r="107" spans="29:31" ht="12.75">
      <c r="AC107" s="122" t="s">
        <v>917</v>
      </c>
      <c r="AD107" s="125">
        <v>27357.403644745238</v>
      </c>
      <c r="AE107" s="125">
        <v>28467.597254432174</v>
      </c>
    </row>
    <row r="108" spans="29:31" ht="12.75">
      <c r="AC108" s="126" t="s">
        <v>920</v>
      </c>
      <c r="AD108" s="124">
        <v>571.2758550308573</v>
      </c>
      <c r="AE108" s="124">
        <v>8273.58957534857</v>
      </c>
    </row>
    <row r="109" spans="29:31" ht="12.75">
      <c r="AC109" s="23"/>
      <c r="AD109" s="23"/>
      <c r="AE109" s="23"/>
    </row>
    <row r="110" spans="29:31" ht="12.75">
      <c r="AC110" s="22"/>
      <c r="AD110" s="23"/>
      <c r="AE110" s="23"/>
    </row>
    <row r="111" spans="29:31" ht="12.75">
      <c r="AC111" s="127" t="s">
        <v>921</v>
      </c>
      <c r="AD111" s="128">
        <f>AD104+AD107</f>
        <v>55264.16159199257</v>
      </c>
      <c r="AE111" s="128">
        <f>AE104+AE107</f>
        <v>59900.38003183172</v>
      </c>
    </row>
    <row r="112" spans="29:31" ht="12.75">
      <c r="AC112" s="1" t="s">
        <v>919</v>
      </c>
      <c r="AD112" s="129">
        <f>AD105</f>
        <v>3181475.8555554464</v>
      </c>
      <c r="AE112" s="129">
        <f>AE105</f>
        <v>638487.6816738461</v>
      </c>
    </row>
    <row r="113" spans="29:31" ht="12.75">
      <c r="AC113" s="1" t="s">
        <v>920</v>
      </c>
      <c r="AD113" s="129">
        <f>AD108</f>
        <v>571.2758550308573</v>
      </c>
      <c r="AE113" s="129">
        <f>AE108</f>
        <v>8273.58957534857</v>
      </c>
    </row>
  </sheetData>
  <sheetProtection/>
  <protectedRanges>
    <protectedRange sqref="S43" name="Rango5_6"/>
    <protectedRange sqref="S43" name="Rango1_1_3"/>
  </protectedRanges>
  <mergeCells count="82">
    <mergeCell ref="G67:G68"/>
    <mergeCell ref="H67:H68"/>
    <mergeCell ref="A67:A68"/>
    <mergeCell ref="B67:B68"/>
    <mergeCell ref="C67:C68"/>
    <mergeCell ref="D67:D68"/>
    <mergeCell ref="E67:E68"/>
    <mergeCell ref="F67:F68"/>
    <mergeCell ref="O1:O2"/>
    <mergeCell ref="K67:K68"/>
    <mergeCell ref="M67:M68"/>
    <mergeCell ref="N67:N68"/>
    <mergeCell ref="I67:I68"/>
    <mergeCell ref="J67:J68"/>
    <mergeCell ref="AE1:AE2"/>
    <mergeCell ref="S1:T1"/>
    <mergeCell ref="V1:V2"/>
    <mergeCell ref="W1:W2"/>
    <mergeCell ref="X1:X2"/>
    <mergeCell ref="P1:Q1"/>
    <mergeCell ref="R1:R2"/>
    <mergeCell ref="H23:H25"/>
    <mergeCell ref="N1:N2"/>
    <mergeCell ref="G23:G25"/>
    <mergeCell ref="A1:A2"/>
    <mergeCell ref="B1:B2"/>
    <mergeCell ref="C1:C2"/>
    <mergeCell ref="D1:D2"/>
    <mergeCell ref="E1:E2"/>
    <mergeCell ref="Z1:Z2"/>
    <mergeCell ref="N23:N25"/>
    <mergeCell ref="U23:U24"/>
    <mergeCell ref="U1:U2"/>
    <mergeCell ref="A23:A25"/>
    <mergeCell ref="B23:B25"/>
    <mergeCell ref="C23:C25"/>
    <mergeCell ref="D23:D25"/>
    <mergeCell ref="E23:E25"/>
    <mergeCell ref="F23:F25"/>
    <mergeCell ref="AB1:AB2"/>
    <mergeCell ref="AC1:AC2"/>
    <mergeCell ref="AD1:AD2"/>
    <mergeCell ref="Y1:Y2"/>
    <mergeCell ref="H90:H91"/>
    <mergeCell ref="I90:I91"/>
    <mergeCell ref="J90:J91"/>
    <mergeCell ref="L90:L91"/>
    <mergeCell ref="L67:L68"/>
    <mergeCell ref="I23:I25"/>
    <mergeCell ref="C90:C91"/>
    <mergeCell ref="D90:D91"/>
    <mergeCell ref="E90:E91"/>
    <mergeCell ref="K23:K25"/>
    <mergeCell ref="G90:G91"/>
    <mergeCell ref="AA1:AA2"/>
    <mergeCell ref="M23:M25"/>
    <mergeCell ref="F1:F2"/>
    <mergeCell ref="G1:M1"/>
    <mergeCell ref="L23:L25"/>
    <mergeCell ref="K90:K91"/>
    <mergeCell ref="J23:J25"/>
    <mergeCell ref="A93:A94"/>
    <mergeCell ref="B93:B94"/>
    <mergeCell ref="C93:C94"/>
    <mergeCell ref="D93:D94"/>
    <mergeCell ref="E93:E94"/>
    <mergeCell ref="F90:F91"/>
    <mergeCell ref="A90:A91"/>
    <mergeCell ref="B90:B91"/>
    <mergeCell ref="O90:O91"/>
    <mergeCell ref="L93:L94"/>
    <mergeCell ref="M93:M94"/>
    <mergeCell ref="U93:U94"/>
    <mergeCell ref="N93:N94"/>
    <mergeCell ref="M90:M91"/>
    <mergeCell ref="N90:N91"/>
    <mergeCell ref="F93:F94"/>
    <mergeCell ref="G93:G94"/>
    <mergeCell ref="H93:H94"/>
    <mergeCell ref="I93:I94"/>
    <mergeCell ref="K93:K94"/>
    <mergeCell ref="J93:J94"/>
  </mergeCells>
  <printOptions/>
  <pageMargins left="0.7" right="0.7" top="0.75" bottom="0.75" header="0.3" footer="0.3"/>
  <pageSetup horizontalDpi="300" verticalDpi="300" orientation="portrait" r:id="rId1"/>
  <ignoredErrors>
    <ignoredError sqref="Z6:AA6 AD7:AE7 AD12:AE12 Z19:AA19 AD26:AE26 AD31:AE31 Z44:AA44 Z46:AA46 AD49:AE49 AD53:AE53 Z60:AA60 AD71:AE71 AD75:AE75 Z78:AA78 Z86:AA87 Z88:AA88 Z96:AA96 Z92:AA92 Z95:AA95" formula="1"/>
  </ignoredErrors>
</worksheet>
</file>

<file path=xl/worksheets/sheet2.xml><?xml version="1.0" encoding="utf-8"?>
<worksheet xmlns="http://schemas.openxmlformats.org/spreadsheetml/2006/main" xmlns:r="http://schemas.openxmlformats.org/officeDocument/2006/relationships">
  <dimension ref="A1:AE93"/>
  <sheetViews>
    <sheetView zoomScale="80" zoomScaleNormal="80" zoomScalePageLayoutView="0" workbookViewId="0" topLeftCell="A1">
      <pane xSplit="4" ySplit="2" topLeftCell="E3" activePane="bottomRight" state="frozen"/>
      <selection pane="topLeft" activeCell="A1" sqref="A1"/>
      <selection pane="topRight" activeCell="F1" sqref="F1"/>
      <selection pane="bottomLeft" activeCell="A3" sqref="A3"/>
      <selection pane="bottomRight" activeCell="B1" sqref="B1:B16384"/>
    </sheetView>
  </sheetViews>
  <sheetFormatPr defaultColWidth="11.421875" defaultRowHeight="15"/>
  <cols>
    <col min="1" max="3" width="12.7109375" style="3" customWidth="1"/>
    <col min="4" max="4" width="34.140625" style="2" customWidth="1"/>
    <col min="5" max="5" width="25.57421875" style="4" customWidth="1"/>
    <col min="6" max="6" width="17.8515625" style="45" customWidth="1"/>
    <col min="7" max="7" width="11.421875" style="45" customWidth="1"/>
    <col min="8" max="8" width="18.421875" style="45" customWidth="1"/>
    <col min="9" max="9" width="11.421875" style="45" customWidth="1"/>
    <col min="10" max="10" width="20.7109375" style="45" customWidth="1"/>
    <col min="11" max="11" width="27.57421875" style="45" customWidth="1"/>
    <col min="12" max="12" width="11.421875" style="45" customWidth="1"/>
    <col min="13" max="13" width="14.7109375" style="45" customWidth="1"/>
    <col min="14" max="14" width="13.140625" style="43" customWidth="1"/>
    <col min="15" max="15" width="11.421875" style="43" customWidth="1"/>
    <col min="16" max="20" width="20.7109375" style="43" customWidth="1"/>
    <col min="21" max="21" width="54.57421875" style="3" customWidth="1"/>
    <col min="22" max="29" width="11.421875" style="3" customWidth="1"/>
    <col min="30" max="31" width="11.421875" style="20" customWidth="1"/>
    <col min="32" max="16384" width="11.421875" style="3" customWidth="1"/>
  </cols>
  <sheetData>
    <row r="1" spans="1:31" s="1" customFormat="1" ht="44.25" customHeight="1">
      <c r="A1" s="152" t="s">
        <v>0</v>
      </c>
      <c r="B1" s="154" t="s">
        <v>421</v>
      </c>
      <c r="C1" s="154" t="s">
        <v>45</v>
      </c>
      <c r="D1" s="152" t="s">
        <v>887</v>
      </c>
      <c r="E1" s="152" t="s">
        <v>2</v>
      </c>
      <c r="F1" s="152" t="s">
        <v>3</v>
      </c>
      <c r="G1" s="152" t="s">
        <v>4</v>
      </c>
      <c r="H1" s="152"/>
      <c r="I1" s="152"/>
      <c r="J1" s="152"/>
      <c r="K1" s="152"/>
      <c r="L1" s="152"/>
      <c r="M1" s="152"/>
      <c r="N1" s="152" t="s">
        <v>46</v>
      </c>
      <c r="O1" s="152" t="s">
        <v>47</v>
      </c>
      <c r="P1" s="152" t="s">
        <v>48</v>
      </c>
      <c r="Q1" s="152"/>
      <c r="R1" s="152" t="s">
        <v>49</v>
      </c>
      <c r="S1" s="152" t="s">
        <v>50</v>
      </c>
      <c r="T1" s="152"/>
      <c r="U1" s="152" t="s">
        <v>51</v>
      </c>
      <c r="V1" s="145" t="s">
        <v>139</v>
      </c>
      <c r="W1" s="145" t="s">
        <v>52</v>
      </c>
      <c r="X1" s="145" t="s">
        <v>53</v>
      </c>
      <c r="Y1" s="145" t="s">
        <v>59</v>
      </c>
      <c r="Z1" s="145" t="s">
        <v>140</v>
      </c>
      <c r="AA1" s="145" t="s">
        <v>54</v>
      </c>
      <c r="AB1" s="147" t="s">
        <v>55</v>
      </c>
      <c r="AC1" s="147" t="s">
        <v>56</v>
      </c>
      <c r="AD1" s="149" t="s">
        <v>141</v>
      </c>
      <c r="AE1" s="149" t="s">
        <v>57</v>
      </c>
    </row>
    <row r="2" spans="1:31" s="1" customFormat="1" ht="54" customHeight="1">
      <c r="A2" s="152"/>
      <c r="B2" s="156"/>
      <c r="C2" s="156"/>
      <c r="D2" s="152"/>
      <c r="E2" s="152"/>
      <c r="F2" s="152"/>
      <c r="G2" s="93" t="s">
        <v>5</v>
      </c>
      <c r="H2" s="93" t="s">
        <v>6</v>
      </c>
      <c r="I2" s="93" t="s">
        <v>7</v>
      </c>
      <c r="J2" s="93" t="s">
        <v>8</v>
      </c>
      <c r="K2" s="93" t="s">
        <v>9</v>
      </c>
      <c r="L2" s="93" t="s">
        <v>10</v>
      </c>
      <c r="M2" s="94" t="s">
        <v>11</v>
      </c>
      <c r="N2" s="154"/>
      <c r="O2" s="154"/>
      <c r="P2" s="94" t="s">
        <v>60</v>
      </c>
      <c r="Q2" s="94" t="s">
        <v>61</v>
      </c>
      <c r="R2" s="154"/>
      <c r="S2" s="94" t="s">
        <v>62</v>
      </c>
      <c r="T2" s="94" t="s">
        <v>63</v>
      </c>
      <c r="U2" s="154"/>
      <c r="V2" s="146"/>
      <c r="W2" s="146" t="s">
        <v>52</v>
      </c>
      <c r="X2" s="146" t="s">
        <v>53</v>
      </c>
      <c r="Y2" s="146" t="s">
        <v>53</v>
      </c>
      <c r="Z2" s="146" t="s">
        <v>140</v>
      </c>
      <c r="AA2" s="146" t="s">
        <v>54</v>
      </c>
      <c r="AB2" s="148" t="s">
        <v>55</v>
      </c>
      <c r="AC2" s="148" t="s">
        <v>56</v>
      </c>
      <c r="AD2" s="150" t="s">
        <v>141</v>
      </c>
      <c r="AE2" s="150" t="s">
        <v>57</v>
      </c>
    </row>
    <row r="3" spans="1:31" s="27" customFormat="1" ht="70.5" customHeight="1">
      <c r="A3" s="5">
        <v>1</v>
      </c>
      <c r="B3" s="5" t="s">
        <v>19</v>
      </c>
      <c r="C3" s="5">
        <v>2</v>
      </c>
      <c r="D3" s="5" t="s">
        <v>180</v>
      </c>
      <c r="E3" s="5" t="s">
        <v>444</v>
      </c>
      <c r="F3" s="5" t="s">
        <v>680</v>
      </c>
      <c r="G3" s="15" t="s">
        <v>314</v>
      </c>
      <c r="H3" s="46" t="s">
        <v>907</v>
      </c>
      <c r="I3" s="51">
        <v>43810</v>
      </c>
      <c r="J3" s="8">
        <v>43819</v>
      </c>
      <c r="K3" s="8">
        <v>43839</v>
      </c>
      <c r="L3" s="49">
        <v>5</v>
      </c>
      <c r="M3" s="51">
        <v>45665</v>
      </c>
      <c r="N3" s="10" t="s">
        <v>58</v>
      </c>
      <c r="O3" s="10" t="s">
        <v>64</v>
      </c>
      <c r="P3" s="10">
        <v>124816.4</v>
      </c>
      <c r="Q3" s="10">
        <v>102835.67</v>
      </c>
      <c r="R3" s="10">
        <v>2558</v>
      </c>
      <c r="S3" s="10" t="s">
        <v>245</v>
      </c>
      <c r="T3" s="10" t="s">
        <v>477</v>
      </c>
      <c r="U3" s="5" t="s">
        <v>754</v>
      </c>
      <c r="V3" s="10">
        <v>88</v>
      </c>
      <c r="W3" s="10">
        <v>23</v>
      </c>
      <c r="X3" s="9">
        <f>((0.16+0.1+0.09+0.16+0.16+0+0+0.16+0.16+0.16+0+0.2+0.16+0+0+0.16+0.16)/17)</f>
        <v>0.1076470588235294</v>
      </c>
      <c r="Y3" s="10">
        <v>18</v>
      </c>
      <c r="Z3" s="9">
        <f>X3*V3*Y3*0.0036</f>
        <v>0.613846588235294</v>
      </c>
      <c r="AA3" s="9">
        <f>X3*W3*Y3*0.0036</f>
        <v>0.16043717647058822</v>
      </c>
      <c r="AB3" s="10">
        <v>30</v>
      </c>
      <c r="AC3" s="10">
        <v>12</v>
      </c>
      <c r="AD3" s="21">
        <f>Z3*AB3*AC3</f>
        <v>220.98477176470584</v>
      </c>
      <c r="AE3" s="21">
        <f>AA3*AB3*AC3</f>
        <v>57.757383529411754</v>
      </c>
    </row>
    <row r="4" spans="1:31" s="31" customFormat="1" ht="69.75" customHeight="1">
      <c r="A4" s="10">
        <v>2</v>
      </c>
      <c r="B4" s="5" t="s">
        <v>19</v>
      </c>
      <c r="C4" s="5">
        <v>2</v>
      </c>
      <c r="D4" s="5" t="s">
        <v>102</v>
      </c>
      <c r="E4" s="10" t="s">
        <v>103</v>
      </c>
      <c r="F4" s="10" t="s">
        <v>26</v>
      </c>
      <c r="G4" s="10" t="s">
        <v>13</v>
      </c>
      <c r="H4" s="12" t="s">
        <v>80</v>
      </c>
      <c r="I4" s="12" t="s">
        <v>80</v>
      </c>
      <c r="J4" s="12" t="s">
        <v>80</v>
      </c>
      <c r="K4" s="12" t="s">
        <v>80</v>
      </c>
      <c r="L4" s="12" t="s">
        <v>80</v>
      </c>
      <c r="M4" s="12" t="s">
        <v>80</v>
      </c>
      <c r="N4" s="10" t="s">
        <v>58</v>
      </c>
      <c r="O4" s="10" t="s">
        <v>64</v>
      </c>
      <c r="P4" s="10"/>
      <c r="Q4" s="10"/>
      <c r="R4" s="10">
        <v>2564</v>
      </c>
      <c r="S4" s="6" t="s">
        <v>833</v>
      </c>
      <c r="T4" s="6" t="s">
        <v>834</v>
      </c>
      <c r="U4" s="5" t="s">
        <v>755</v>
      </c>
      <c r="V4" s="10">
        <v>25.8</v>
      </c>
      <c r="W4" s="10">
        <v>82.5</v>
      </c>
      <c r="X4" s="10">
        <f>(0.4+0.46+0.53+0.35+0.42)/5</f>
        <v>0.43200000000000005</v>
      </c>
      <c r="Y4" s="10">
        <v>18</v>
      </c>
      <c r="Z4" s="9">
        <f>X4*V4*Y4*0.0036</f>
        <v>0.7222348800000001</v>
      </c>
      <c r="AA4" s="9">
        <f>X4*W4*Y4*0.0036</f>
        <v>2.3094720000000004</v>
      </c>
      <c r="AB4" s="10">
        <v>30</v>
      </c>
      <c r="AC4" s="10">
        <v>12</v>
      </c>
      <c r="AD4" s="21">
        <f aca="true" t="shared" si="0" ref="AD4:AD10">Z4*AB4*AC4</f>
        <v>260.00455680000005</v>
      </c>
      <c r="AE4" s="21">
        <f aca="true" t="shared" si="1" ref="AE4:AE10">AA4*AB4*AC4</f>
        <v>831.4099200000002</v>
      </c>
    </row>
    <row r="5" spans="1:31" s="29" customFormat="1" ht="111" customHeight="1">
      <c r="A5" s="10">
        <v>3</v>
      </c>
      <c r="B5" s="5" t="s">
        <v>19</v>
      </c>
      <c r="C5" s="5">
        <v>2</v>
      </c>
      <c r="D5" s="5" t="s">
        <v>106</v>
      </c>
      <c r="E5" s="10" t="s">
        <v>104</v>
      </c>
      <c r="F5" s="6" t="s">
        <v>39</v>
      </c>
      <c r="G5" s="10" t="s">
        <v>13</v>
      </c>
      <c r="H5" s="49" t="s">
        <v>80</v>
      </c>
      <c r="I5" s="49" t="s">
        <v>80</v>
      </c>
      <c r="J5" s="49" t="s">
        <v>80</v>
      </c>
      <c r="K5" s="49" t="s">
        <v>80</v>
      </c>
      <c r="L5" s="49" t="s">
        <v>80</v>
      </c>
      <c r="M5" s="49" t="s">
        <v>80</v>
      </c>
      <c r="N5" s="5" t="s">
        <v>58</v>
      </c>
      <c r="O5" s="6" t="s">
        <v>64</v>
      </c>
      <c r="P5" s="10">
        <v>118534.14</v>
      </c>
      <c r="Q5" s="10">
        <v>101001.63</v>
      </c>
      <c r="R5" s="6">
        <v>2563</v>
      </c>
      <c r="S5" s="6" t="s">
        <v>105</v>
      </c>
      <c r="T5" s="6" t="s">
        <v>517</v>
      </c>
      <c r="U5" s="15" t="s">
        <v>83</v>
      </c>
      <c r="V5" s="72"/>
      <c r="W5" s="72"/>
      <c r="X5" s="72"/>
      <c r="Y5" s="72"/>
      <c r="Z5" s="7">
        <f>((50*4*6)/1000)</f>
        <v>1.2</v>
      </c>
      <c r="AA5" s="7">
        <f>((50*4*6)/1000)</f>
        <v>1.2</v>
      </c>
      <c r="AB5" s="6">
        <v>30</v>
      </c>
      <c r="AC5" s="6">
        <v>12</v>
      </c>
      <c r="AD5" s="21">
        <f t="shared" si="0"/>
        <v>432</v>
      </c>
      <c r="AE5" s="21">
        <f t="shared" si="1"/>
        <v>432</v>
      </c>
    </row>
    <row r="6" spans="1:31" s="29" customFormat="1" ht="105" customHeight="1">
      <c r="A6" s="10">
        <v>4</v>
      </c>
      <c r="B6" s="5" t="s">
        <v>19</v>
      </c>
      <c r="C6" s="5">
        <v>2</v>
      </c>
      <c r="D6" s="15" t="s">
        <v>107</v>
      </c>
      <c r="E6" s="10" t="s">
        <v>108</v>
      </c>
      <c r="F6" s="6" t="s">
        <v>27</v>
      </c>
      <c r="G6" s="10" t="s">
        <v>13</v>
      </c>
      <c r="H6" s="49" t="s">
        <v>80</v>
      </c>
      <c r="I6" s="49" t="s">
        <v>80</v>
      </c>
      <c r="J6" s="49" t="s">
        <v>80</v>
      </c>
      <c r="K6" s="49" t="s">
        <v>80</v>
      </c>
      <c r="L6" s="49" t="s">
        <v>80</v>
      </c>
      <c r="M6" s="49" t="s">
        <v>80</v>
      </c>
      <c r="N6" s="6" t="s">
        <v>58</v>
      </c>
      <c r="O6" s="6" t="s">
        <v>64</v>
      </c>
      <c r="P6" s="10"/>
      <c r="Q6" s="10"/>
      <c r="R6" s="6">
        <v>2563</v>
      </c>
      <c r="S6" s="10" t="s">
        <v>825</v>
      </c>
      <c r="T6" s="10" t="s">
        <v>826</v>
      </c>
      <c r="U6" s="15" t="s">
        <v>83</v>
      </c>
      <c r="V6" s="72"/>
      <c r="W6" s="72"/>
      <c r="X6" s="72"/>
      <c r="Y6" s="72"/>
      <c r="Z6" s="7">
        <f>((50*4*4)/1000)</f>
        <v>0.8</v>
      </c>
      <c r="AA6" s="7">
        <f>((50*4*4)/1000)</f>
        <v>0.8</v>
      </c>
      <c r="AB6" s="6">
        <v>30</v>
      </c>
      <c r="AC6" s="6">
        <v>12</v>
      </c>
      <c r="AD6" s="21">
        <f t="shared" si="0"/>
        <v>288</v>
      </c>
      <c r="AE6" s="21">
        <f t="shared" si="1"/>
        <v>288</v>
      </c>
    </row>
    <row r="7" spans="1:31" s="31" customFormat="1" ht="96" customHeight="1">
      <c r="A7" s="10">
        <v>5</v>
      </c>
      <c r="B7" s="5" t="s">
        <v>19</v>
      </c>
      <c r="C7" s="5">
        <v>2</v>
      </c>
      <c r="D7" s="5" t="s">
        <v>40</v>
      </c>
      <c r="E7" s="10" t="s">
        <v>109</v>
      </c>
      <c r="F7" s="10" t="s">
        <v>28</v>
      </c>
      <c r="G7" s="6" t="s">
        <v>314</v>
      </c>
      <c r="H7" s="46" t="s">
        <v>908</v>
      </c>
      <c r="I7" s="51">
        <v>42977</v>
      </c>
      <c r="J7" s="51">
        <v>43386</v>
      </c>
      <c r="K7" s="51">
        <v>43401</v>
      </c>
      <c r="L7" s="49">
        <v>5</v>
      </c>
      <c r="M7" s="51">
        <v>45226</v>
      </c>
      <c r="N7" s="10" t="s">
        <v>58</v>
      </c>
      <c r="O7" s="10" t="s">
        <v>64</v>
      </c>
      <c r="P7" s="10">
        <v>118666.6</v>
      </c>
      <c r="Q7" s="10">
        <v>101100.58</v>
      </c>
      <c r="R7" s="10">
        <v>2563</v>
      </c>
      <c r="S7" s="10" t="s">
        <v>110</v>
      </c>
      <c r="T7" s="10" t="s">
        <v>518</v>
      </c>
      <c r="U7" s="5" t="s">
        <v>840</v>
      </c>
      <c r="V7" s="10">
        <v>21.8</v>
      </c>
      <c r="W7" s="10">
        <v>44</v>
      </c>
      <c r="X7" s="9">
        <v>0.43</v>
      </c>
      <c r="Y7" s="10">
        <v>18</v>
      </c>
      <c r="Z7" s="9">
        <f>X7*V7*Y7*0.0036</f>
        <v>0.6074352</v>
      </c>
      <c r="AA7" s="9">
        <f>X7*W7*Y7*0.0036</f>
        <v>1.2260159999999998</v>
      </c>
      <c r="AB7" s="10">
        <v>30</v>
      </c>
      <c r="AC7" s="10">
        <v>12</v>
      </c>
      <c r="AD7" s="21">
        <f>Z7*AB7*AC7</f>
        <v>218.676672</v>
      </c>
      <c r="AE7" s="21">
        <f>AA7*AB7*AC7</f>
        <v>441.3657599999999</v>
      </c>
    </row>
    <row r="8" spans="1:31" s="29" customFormat="1" ht="25.5">
      <c r="A8" s="10">
        <v>6</v>
      </c>
      <c r="B8" s="5" t="s">
        <v>19</v>
      </c>
      <c r="C8" s="5">
        <v>2</v>
      </c>
      <c r="D8" s="15" t="s">
        <v>41</v>
      </c>
      <c r="E8" s="10" t="s">
        <v>111</v>
      </c>
      <c r="F8" s="6" t="s">
        <v>29</v>
      </c>
      <c r="G8" s="6" t="s">
        <v>314</v>
      </c>
      <c r="H8" s="46" t="s">
        <v>909</v>
      </c>
      <c r="I8" s="120">
        <v>43815</v>
      </c>
      <c r="J8" s="8">
        <v>43833</v>
      </c>
      <c r="K8" s="8">
        <v>43851</v>
      </c>
      <c r="L8" s="49">
        <v>5</v>
      </c>
      <c r="M8" s="51">
        <v>45677</v>
      </c>
      <c r="N8" s="6" t="s">
        <v>58</v>
      </c>
      <c r="O8" s="6" t="s">
        <v>64</v>
      </c>
      <c r="P8" s="10">
        <v>118930.26</v>
      </c>
      <c r="Q8" s="10">
        <v>101144.94</v>
      </c>
      <c r="R8" s="6">
        <v>2566</v>
      </c>
      <c r="S8" s="6" t="s">
        <v>112</v>
      </c>
      <c r="T8" s="6" t="s">
        <v>519</v>
      </c>
      <c r="U8" s="5" t="s">
        <v>620</v>
      </c>
      <c r="V8" s="6">
        <v>32</v>
      </c>
      <c r="W8" s="6">
        <v>35</v>
      </c>
      <c r="X8" s="6">
        <v>0.29800000000000004</v>
      </c>
      <c r="Y8" s="6">
        <v>18</v>
      </c>
      <c r="Z8" s="68">
        <f>X8*V8*Y8*0.0036</f>
        <v>0.6179328000000001</v>
      </c>
      <c r="AA8" s="68">
        <f>X8*W8*Y8*0.0036</f>
        <v>0.6758640000000001</v>
      </c>
      <c r="AB8" s="6">
        <v>30</v>
      </c>
      <c r="AC8" s="6">
        <v>12</v>
      </c>
      <c r="AD8" s="21">
        <f>Z8*AB8*AC8</f>
        <v>222.45580800000002</v>
      </c>
      <c r="AE8" s="21">
        <f>AA8*AB8*AC8</f>
        <v>243.31104000000005</v>
      </c>
    </row>
    <row r="9" spans="1:31" s="31" customFormat="1" ht="106.5" customHeight="1">
      <c r="A9" s="10">
        <v>7</v>
      </c>
      <c r="B9" s="5" t="s">
        <v>19</v>
      </c>
      <c r="C9" s="5">
        <v>2</v>
      </c>
      <c r="D9" s="5" t="s">
        <v>42</v>
      </c>
      <c r="E9" s="10" t="s">
        <v>276</v>
      </c>
      <c r="F9" s="10" t="s">
        <v>30</v>
      </c>
      <c r="G9" s="10" t="s">
        <v>904</v>
      </c>
      <c r="H9" s="46" t="s">
        <v>941</v>
      </c>
      <c r="I9" s="51">
        <v>42950</v>
      </c>
      <c r="J9" s="51">
        <v>42963</v>
      </c>
      <c r="K9" s="49" t="s">
        <v>12</v>
      </c>
      <c r="L9" s="49" t="s">
        <v>91</v>
      </c>
      <c r="M9" s="49">
        <v>2022</v>
      </c>
      <c r="N9" s="10" t="s">
        <v>58</v>
      </c>
      <c r="O9" s="10" t="s">
        <v>64</v>
      </c>
      <c r="P9" s="10">
        <v>118673.53</v>
      </c>
      <c r="Q9" s="10">
        <v>17105.61</v>
      </c>
      <c r="R9" s="10">
        <v>2567</v>
      </c>
      <c r="S9" s="10" t="s">
        <v>521</v>
      </c>
      <c r="T9" s="10" t="s">
        <v>520</v>
      </c>
      <c r="U9" s="5" t="s">
        <v>359</v>
      </c>
      <c r="V9" s="85"/>
      <c r="W9" s="85"/>
      <c r="X9" s="85"/>
      <c r="Y9" s="85"/>
      <c r="Z9" s="9">
        <f>(50*4*4)/1000</f>
        <v>0.8</v>
      </c>
      <c r="AA9" s="9">
        <f>(50*4*4)/1000</f>
        <v>0.8</v>
      </c>
      <c r="AB9" s="10">
        <v>30</v>
      </c>
      <c r="AC9" s="10">
        <v>12</v>
      </c>
      <c r="AD9" s="21">
        <f t="shared" si="0"/>
        <v>288</v>
      </c>
      <c r="AE9" s="21">
        <f t="shared" si="1"/>
        <v>288</v>
      </c>
    </row>
    <row r="10" spans="1:31" s="29" customFormat="1" ht="97.5" customHeight="1">
      <c r="A10" s="10">
        <v>8</v>
      </c>
      <c r="B10" s="5" t="s">
        <v>19</v>
      </c>
      <c r="C10" s="5">
        <v>2</v>
      </c>
      <c r="D10" s="15" t="s">
        <v>22</v>
      </c>
      <c r="E10" s="10" t="s">
        <v>113</v>
      </c>
      <c r="F10" s="6" t="s">
        <v>31</v>
      </c>
      <c r="G10" s="10" t="s">
        <v>13</v>
      </c>
      <c r="H10" s="49" t="s">
        <v>80</v>
      </c>
      <c r="I10" s="49" t="s">
        <v>80</v>
      </c>
      <c r="J10" s="49" t="s">
        <v>80</v>
      </c>
      <c r="K10" s="49" t="s">
        <v>80</v>
      </c>
      <c r="L10" s="49" t="s">
        <v>80</v>
      </c>
      <c r="M10" s="49" t="s">
        <v>80</v>
      </c>
      <c r="N10" s="6" t="s">
        <v>58</v>
      </c>
      <c r="O10" s="6" t="s">
        <v>64</v>
      </c>
      <c r="P10" s="10">
        <v>118671.52</v>
      </c>
      <c r="Q10" s="10">
        <v>101102.43</v>
      </c>
      <c r="R10" s="6">
        <v>2563</v>
      </c>
      <c r="S10" s="6" t="s">
        <v>114</v>
      </c>
      <c r="T10" s="6" t="s">
        <v>522</v>
      </c>
      <c r="U10" s="15" t="s">
        <v>83</v>
      </c>
      <c r="V10" s="72"/>
      <c r="W10" s="72"/>
      <c r="X10" s="72"/>
      <c r="Y10" s="72"/>
      <c r="Z10" s="7">
        <f>((50*4*4)/1000)</f>
        <v>0.8</v>
      </c>
      <c r="AA10" s="7">
        <f>((50*4*4)/1000)</f>
        <v>0.8</v>
      </c>
      <c r="AB10" s="6">
        <v>30</v>
      </c>
      <c r="AC10" s="6">
        <v>12</v>
      </c>
      <c r="AD10" s="21">
        <f t="shared" si="0"/>
        <v>288</v>
      </c>
      <c r="AE10" s="21">
        <f t="shared" si="1"/>
        <v>288</v>
      </c>
    </row>
    <row r="11" spans="1:31" s="29" customFormat="1" ht="93" customHeight="1">
      <c r="A11" s="10">
        <v>9</v>
      </c>
      <c r="B11" s="5" t="s">
        <v>19</v>
      </c>
      <c r="C11" s="5">
        <v>2</v>
      </c>
      <c r="D11" s="15" t="s">
        <v>23</v>
      </c>
      <c r="E11" s="10" t="s">
        <v>115</v>
      </c>
      <c r="F11" s="6" t="s">
        <v>32</v>
      </c>
      <c r="G11" s="10" t="s">
        <v>13</v>
      </c>
      <c r="H11" s="49" t="s">
        <v>80</v>
      </c>
      <c r="I11" s="49" t="s">
        <v>80</v>
      </c>
      <c r="J11" s="49" t="s">
        <v>80</v>
      </c>
      <c r="K11" s="49" t="s">
        <v>80</v>
      </c>
      <c r="L11" s="49" t="s">
        <v>80</v>
      </c>
      <c r="M11" s="49" t="s">
        <v>80</v>
      </c>
      <c r="N11" s="6" t="s">
        <v>58</v>
      </c>
      <c r="O11" s="6" t="s">
        <v>64</v>
      </c>
      <c r="P11" s="10">
        <v>119292.6</v>
      </c>
      <c r="Q11" s="10">
        <v>101472.6</v>
      </c>
      <c r="R11" s="6">
        <v>2573</v>
      </c>
      <c r="S11" s="6" t="s">
        <v>116</v>
      </c>
      <c r="T11" s="6" t="s">
        <v>523</v>
      </c>
      <c r="U11" s="15" t="s">
        <v>331</v>
      </c>
      <c r="V11" s="6"/>
      <c r="W11" s="6"/>
      <c r="X11" s="6"/>
      <c r="Y11" s="6"/>
      <c r="Z11" s="7">
        <f>((50*4*4)/1000)</f>
        <v>0.8</v>
      </c>
      <c r="AA11" s="7">
        <f>((50*4*4)/1000)</f>
        <v>0.8</v>
      </c>
      <c r="AB11" s="6">
        <v>30</v>
      </c>
      <c r="AC11" s="6">
        <v>12</v>
      </c>
      <c r="AD11" s="21">
        <f>Z11*AB11*AC11</f>
        <v>288</v>
      </c>
      <c r="AE11" s="21">
        <f>AA11*AB11*AC11</f>
        <v>288</v>
      </c>
    </row>
    <row r="12" spans="1:31" s="31" customFormat="1" ht="56.25" customHeight="1">
      <c r="A12" s="10">
        <v>10</v>
      </c>
      <c r="B12" s="5" t="s">
        <v>19</v>
      </c>
      <c r="C12" s="5">
        <v>2</v>
      </c>
      <c r="D12" s="5" t="s">
        <v>24</v>
      </c>
      <c r="E12" s="10" t="s">
        <v>377</v>
      </c>
      <c r="F12" s="10" t="s">
        <v>20</v>
      </c>
      <c r="G12" s="10" t="s">
        <v>13</v>
      </c>
      <c r="H12" s="12" t="s">
        <v>80</v>
      </c>
      <c r="I12" s="12" t="s">
        <v>80</v>
      </c>
      <c r="J12" s="12" t="s">
        <v>80</v>
      </c>
      <c r="K12" s="12" t="s">
        <v>80</v>
      </c>
      <c r="L12" s="12" t="s">
        <v>80</v>
      </c>
      <c r="M12" s="12" t="s">
        <v>80</v>
      </c>
      <c r="N12" s="10" t="s">
        <v>58</v>
      </c>
      <c r="O12" s="10" t="s">
        <v>64</v>
      </c>
      <c r="P12" s="10">
        <v>121626.34</v>
      </c>
      <c r="Q12" s="10">
        <v>66259.2</v>
      </c>
      <c r="R12" s="10">
        <v>2553</v>
      </c>
      <c r="S12" s="10" t="s">
        <v>525</v>
      </c>
      <c r="T12" s="10" t="s">
        <v>524</v>
      </c>
      <c r="U12" s="5" t="s">
        <v>781</v>
      </c>
      <c r="V12" s="85"/>
      <c r="W12" s="85"/>
      <c r="X12" s="85"/>
      <c r="Y12" s="85"/>
      <c r="Z12" s="116"/>
      <c r="AA12" s="116"/>
      <c r="AB12" s="85"/>
      <c r="AC12" s="85"/>
      <c r="AD12" s="21">
        <v>2152.26</v>
      </c>
      <c r="AE12" s="21">
        <v>2152.26</v>
      </c>
    </row>
    <row r="13" spans="1:31" s="31" customFormat="1" ht="59.25" customHeight="1">
      <c r="A13" s="10">
        <v>11</v>
      </c>
      <c r="B13" s="5" t="s">
        <v>19</v>
      </c>
      <c r="C13" s="5">
        <v>2</v>
      </c>
      <c r="D13" s="5" t="s">
        <v>25</v>
      </c>
      <c r="E13" s="10" t="s">
        <v>275</v>
      </c>
      <c r="F13" s="10" t="s">
        <v>20</v>
      </c>
      <c r="G13" s="10" t="s">
        <v>13</v>
      </c>
      <c r="H13" s="12" t="s">
        <v>80</v>
      </c>
      <c r="I13" s="12" t="s">
        <v>80</v>
      </c>
      <c r="J13" s="12" t="s">
        <v>80</v>
      </c>
      <c r="K13" s="12" t="s">
        <v>80</v>
      </c>
      <c r="L13" s="12" t="s">
        <v>80</v>
      </c>
      <c r="M13" s="12" t="s">
        <v>80</v>
      </c>
      <c r="N13" s="10" t="s">
        <v>58</v>
      </c>
      <c r="O13" s="10" t="s">
        <v>64</v>
      </c>
      <c r="P13" s="10">
        <v>121626.34</v>
      </c>
      <c r="Q13" s="10">
        <v>66259.2</v>
      </c>
      <c r="R13" s="10">
        <v>2553</v>
      </c>
      <c r="S13" s="10" t="s">
        <v>525</v>
      </c>
      <c r="T13" s="10" t="s">
        <v>526</v>
      </c>
      <c r="U13" s="5" t="s">
        <v>782</v>
      </c>
      <c r="V13" s="85"/>
      <c r="W13" s="85"/>
      <c r="X13" s="85"/>
      <c r="Y13" s="85"/>
      <c r="Z13" s="116"/>
      <c r="AA13" s="116"/>
      <c r="AB13" s="85"/>
      <c r="AC13" s="85"/>
      <c r="AD13" s="21">
        <v>2423.52</v>
      </c>
      <c r="AE13" s="21">
        <v>2423.52</v>
      </c>
    </row>
    <row r="14" spans="1:31" s="29" customFormat="1" ht="59.25" customHeight="1">
      <c r="A14" s="141">
        <v>12</v>
      </c>
      <c r="B14" s="144" t="s">
        <v>19</v>
      </c>
      <c r="C14" s="144">
        <v>2</v>
      </c>
      <c r="D14" s="144" t="s">
        <v>43</v>
      </c>
      <c r="E14" s="157" t="s">
        <v>117</v>
      </c>
      <c r="F14" s="157" t="s">
        <v>44</v>
      </c>
      <c r="G14" s="157" t="s">
        <v>904</v>
      </c>
      <c r="H14" s="159" t="s">
        <v>942</v>
      </c>
      <c r="I14" s="160">
        <v>41723</v>
      </c>
      <c r="J14" s="160">
        <v>41725</v>
      </c>
      <c r="K14" s="160">
        <v>41740</v>
      </c>
      <c r="L14" s="157" t="s">
        <v>18</v>
      </c>
      <c r="M14" s="160">
        <v>45392</v>
      </c>
      <c r="N14" s="157" t="s">
        <v>58</v>
      </c>
      <c r="O14" s="157" t="s">
        <v>64</v>
      </c>
      <c r="P14" s="10">
        <v>118837.01</v>
      </c>
      <c r="Q14" s="10">
        <v>102484.43</v>
      </c>
      <c r="R14" s="6">
        <v>2562</v>
      </c>
      <c r="S14" s="6" t="s">
        <v>118</v>
      </c>
      <c r="T14" s="6" t="s">
        <v>527</v>
      </c>
      <c r="U14" s="15" t="s">
        <v>756</v>
      </c>
      <c r="V14" s="15">
        <v>54</v>
      </c>
      <c r="W14" s="15">
        <v>18</v>
      </c>
      <c r="X14" s="88">
        <f>((0.076+0.055+0.043+0.054+0.05+0.056+0+0+0.054)/9)</f>
        <v>0.04311111111111111</v>
      </c>
      <c r="Y14" s="15">
        <v>18</v>
      </c>
      <c r="Z14" s="68">
        <f>X14*V14*Y14*0.0036</f>
        <v>0.15085439999999997</v>
      </c>
      <c r="AA14" s="68">
        <f>X14*W14*Y14*0.0036</f>
        <v>0.05028479999999999</v>
      </c>
      <c r="AB14" s="15">
        <v>30</v>
      </c>
      <c r="AC14" s="15">
        <v>12</v>
      </c>
      <c r="AD14" s="56">
        <f>Z14*AB14*AC14</f>
        <v>54.30758399999999</v>
      </c>
      <c r="AE14" s="56">
        <f>AA14*AB14*AC14</f>
        <v>18.102527999999996</v>
      </c>
    </row>
    <row r="15" spans="1:31" s="29" customFormat="1" ht="58.5" customHeight="1">
      <c r="A15" s="141"/>
      <c r="B15" s="144"/>
      <c r="C15" s="144"/>
      <c r="D15" s="144"/>
      <c r="E15" s="157"/>
      <c r="F15" s="157"/>
      <c r="G15" s="157"/>
      <c r="H15" s="157"/>
      <c r="I15" s="160"/>
      <c r="J15" s="160"/>
      <c r="K15" s="160"/>
      <c r="L15" s="157"/>
      <c r="M15" s="160"/>
      <c r="N15" s="157"/>
      <c r="O15" s="157"/>
      <c r="P15" s="10">
        <v>118769.4</v>
      </c>
      <c r="Q15" s="10">
        <v>102432.03</v>
      </c>
      <c r="R15" s="6">
        <v>2562</v>
      </c>
      <c r="S15" s="6" t="s">
        <v>119</v>
      </c>
      <c r="T15" s="6" t="s">
        <v>528</v>
      </c>
      <c r="U15" s="15" t="s">
        <v>757</v>
      </c>
      <c r="V15" s="15">
        <v>50</v>
      </c>
      <c r="W15" s="15">
        <v>10</v>
      </c>
      <c r="X15" s="88">
        <f>((0.066+0.049+0.033+0.079+0.048+0+0+0.053+0)/9)</f>
        <v>0.036444444444444446</v>
      </c>
      <c r="Y15" s="15">
        <v>18</v>
      </c>
      <c r="Z15" s="68">
        <f>X15*V15*Y15*0.0036</f>
        <v>0.11808000000000002</v>
      </c>
      <c r="AA15" s="68">
        <f>X15*W15*Y15*0.0036</f>
        <v>0.023616</v>
      </c>
      <c r="AB15" s="15">
        <v>30</v>
      </c>
      <c r="AC15" s="15">
        <v>12</v>
      </c>
      <c r="AD15" s="56">
        <f>Z15*AB15*AC15</f>
        <v>42.50880000000001</v>
      </c>
      <c r="AE15" s="56">
        <f>AA15*AB15*AC15</f>
        <v>8.50176</v>
      </c>
    </row>
    <row r="16" spans="1:31" s="29" customFormat="1" ht="112.5" customHeight="1">
      <c r="A16" s="10">
        <v>13</v>
      </c>
      <c r="B16" s="5" t="s">
        <v>19</v>
      </c>
      <c r="C16" s="5">
        <v>2</v>
      </c>
      <c r="D16" s="5" t="s">
        <v>682</v>
      </c>
      <c r="E16" s="6" t="s">
        <v>120</v>
      </c>
      <c r="F16" s="15" t="s">
        <v>861</v>
      </c>
      <c r="G16" s="15" t="s">
        <v>904</v>
      </c>
      <c r="H16" s="46" t="s">
        <v>437</v>
      </c>
      <c r="I16" s="51">
        <v>43340</v>
      </c>
      <c r="J16" s="49" t="s">
        <v>12</v>
      </c>
      <c r="K16" s="49" t="s">
        <v>12</v>
      </c>
      <c r="L16" s="49" t="s">
        <v>91</v>
      </c>
      <c r="M16" s="49">
        <v>2023</v>
      </c>
      <c r="N16" s="6" t="s">
        <v>58</v>
      </c>
      <c r="O16" s="6" t="s">
        <v>64</v>
      </c>
      <c r="P16" s="10">
        <v>118649.44</v>
      </c>
      <c r="Q16" s="10">
        <v>101534.33</v>
      </c>
      <c r="R16" s="6">
        <v>2562</v>
      </c>
      <c r="S16" s="15" t="s">
        <v>530</v>
      </c>
      <c r="T16" s="15" t="s">
        <v>529</v>
      </c>
      <c r="U16" s="15" t="s">
        <v>758</v>
      </c>
      <c r="V16" s="6"/>
      <c r="W16" s="6"/>
      <c r="X16" s="68"/>
      <c r="Y16" s="6"/>
      <c r="Z16" s="68">
        <f>50*4*8/1000</f>
        <v>1.6</v>
      </c>
      <c r="AA16" s="68">
        <f>50*4*8/1000</f>
        <v>1.6</v>
      </c>
      <c r="AB16" s="6">
        <v>30</v>
      </c>
      <c r="AC16" s="6">
        <v>12</v>
      </c>
      <c r="AD16" s="21">
        <f aca="true" t="shared" si="2" ref="AD16:AD58">Z16*AB16*AC16</f>
        <v>576</v>
      </c>
      <c r="AE16" s="21">
        <f aca="true" t="shared" si="3" ref="AE16:AE58">AA16*AB16*AC16</f>
        <v>576</v>
      </c>
    </row>
    <row r="17" spans="1:31" s="29" customFormat="1" ht="96.75" customHeight="1">
      <c r="A17" s="10">
        <v>14</v>
      </c>
      <c r="B17" s="5" t="s">
        <v>19</v>
      </c>
      <c r="C17" s="5">
        <v>2</v>
      </c>
      <c r="D17" s="5" t="s">
        <v>68</v>
      </c>
      <c r="E17" s="5" t="s">
        <v>121</v>
      </c>
      <c r="F17" s="6" t="s">
        <v>681</v>
      </c>
      <c r="G17" s="15" t="s">
        <v>13</v>
      </c>
      <c r="H17" s="49" t="s">
        <v>80</v>
      </c>
      <c r="I17" s="49" t="s">
        <v>80</v>
      </c>
      <c r="J17" s="49" t="s">
        <v>80</v>
      </c>
      <c r="K17" s="49" t="s">
        <v>80</v>
      </c>
      <c r="L17" s="49" t="s">
        <v>80</v>
      </c>
      <c r="M17" s="49" t="s">
        <v>80</v>
      </c>
      <c r="N17" s="6" t="s">
        <v>58</v>
      </c>
      <c r="O17" s="6" t="s">
        <v>64</v>
      </c>
      <c r="P17" s="10">
        <v>118465.73</v>
      </c>
      <c r="Q17" s="10">
        <v>101978.59</v>
      </c>
      <c r="R17" s="6">
        <v>2563</v>
      </c>
      <c r="S17" s="15" t="s">
        <v>122</v>
      </c>
      <c r="T17" s="15" t="s">
        <v>531</v>
      </c>
      <c r="U17" s="15" t="s">
        <v>759</v>
      </c>
      <c r="V17" s="6"/>
      <c r="W17" s="6"/>
      <c r="X17" s="6"/>
      <c r="Y17" s="6"/>
      <c r="Z17" s="68">
        <f>50*4*4/1000</f>
        <v>0.8</v>
      </c>
      <c r="AA17" s="68">
        <f>50*4*4/1000</f>
        <v>0.8</v>
      </c>
      <c r="AB17" s="6">
        <v>30</v>
      </c>
      <c r="AC17" s="6">
        <v>12</v>
      </c>
      <c r="AD17" s="21">
        <f>Z17*AB17*AC17</f>
        <v>288</v>
      </c>
      <c r="AE17" s="21">
        <f>AA17*AB17*AC17</f>
        <v>288</v>
      </c>
    </row>
    <row r="18" spans="1:31" s="29" customFormat="1" ht="66" customHeight="1">
      <c r="A18" s="137">
        <v>15</v>
      </c>
      <c r="B18" s="144" t="s">
        <v>19</v>
      </c>
      <c r="C18" s="144">
        <v>2</v>
      </c>
      <c r="D18" s="144" t="s">
        <v>69</v>
      </c>
      <c r="E18" s="144" t="s">
        <v>123</v>
      </c>
      <c r="F18" s="159" t="s">
        <v>621</v>
      </c>
      <c r="G18" s="159" t="s">
        <v>13</v>
      </c>
      <c r="H18" s="158" t="s">
        <v>80</v>
      </c>
      <c r="I18" s="158" t="s">
        <v>80</v>
      </c>
      <c r="J18" s="158" t="s">
        <v>80</v>
      </c>
      <c r="K18" s="158" t="s">
        <v>80</v>
      </c>
      <c r="L18" s="158" t="s">
        <v>80</v>
      </c>
      <c r="M18" s="158" t="s">
        <v>80</v>
      </c>
      <c r="N18" s="157" t="s">
        <v>58</v>
      </c>
      <c r="O18" s="157" t="s">
        <v>64</v>
      </c>
      <c r="P18" s="10">
        <v>119073.49</v>
      </c>
      <c r="Q18" s="10">
        <v>101402.34</v>
      </c>
      <c r="R18" s="6">
        <v>2564</v>
      </c>
      <c r="S18" s="15" t="s">
        <v>124</v>
      </c>
      <c r="T18" s="15" t="s">
        <v>532</v>
      </c>
      <c r="U18" s="163" t="s">
        <v>797</v>
      </c>
      <c r="V18" s="167"/>
      <c r="W18" s="167"/>
      <c r="X18" s="185"/>
      <c r="Y18" s="167"/>
      <c r="Z18" s="185">
        <f>50*4*4/1000</f>
        <v>0.8</v>
      </c>
      <c r="AA18" s="185">
        <f>50*4*4/1000</f>
        <v>0.8</v>
      </c>
      <c r="AB18" s="167">
        <v>30</v>
      </c>
      <c r="AC18" s="167">
        <v>12</v>
      </c>
      <c r="AD18" s="171">
        <f>Z18*AB18*AC18</f>
        <v>288</v>
      </c>
      <c r="AE18" s="171">
        <f>AA18*AB18*AC18</f>
        <v>288</v>
      </c>
    </row>
    <row r="19" spans="1:31" s="29" customFormat="1" ht="48.75" customHeight="1">
      <c r="A19" s="138"/>
      <c r="B19" s="144"/>
      <c r="C19" s="144"/>
      <c r="D19" s="144"/>
      <c r="E19" s="144"/>
      <c r="F19" s="159"/>
      <c r="G19" s="159"/>
      <c r="H19" s="158"/>
      <c r="I19" s="158"/>
      <c r="J19" s="158"/>
      <c r="K19" s="158"/>
      <c r="L19" s="158"/>
      <c r="M19" s="158"/>
      <c r="N19" s="157"/>
      <c r="O19" s="157"/>
      <c r="P19" s="10">
        <v>119122.66</v>
      </c>
      <c r="Q19" s="10">
        <v>101442.41</v>
      </c>
      <c r="R19" s="6">
        <v>2564</v>
      </c>
      <c r="S19" s="15" t="s">
        <v>125</v>
      </c>
      <c r="T19" s="15" t="s">
        <v>533</v>
      </c>
      <c r="U19" s="164"/>
      <c r="V19" s="168"/>
      <c r="W19" s="168"/>
      <c r="X19" s="186"/>
      <c r="Y19" s="168"/>
      <c r="Z19" s="186"/>
      <c r="AA19" s="186"/>
      <c r="AB19" s="168"/>
      <c r="AC19" s="168"/>
      <c r="AD19" s="172"/>
      <c r="AE19" s="172"/>
    </row>
    <row r="20" spans="1:31" s="29" customFormat="1" ht="99" customHeight="1">
      <c r="A20" s="10">
        <v>16</v>
      </c>
      <c r="B20" s="5" t="s">
        <v>19</v>
      </c>
      <c r="C20" s="5">
        <v>2</v>
      </c>
      <c r="D20" s="5" t="s">
        <v>70</v>
      </c>
      <c r="E20" s="5" t="s">
        <v>126</v>
      </c>
      <c r="F20" s="15" t="s">
        <v>632</v>
      </c>
      <c r="G20" s="15" t="s">
        <v>13</v>
      </c>
      <c r="H20" s="49" t="s">
        <v>80</v>
      </c>
      <c r="I20" s="49" t="s">
        <v>80</v>
      </c>
      <c r="J20" s="49" t="s">
        <v>80</v>
      </c>
      <c r="K20" s="49" t="s">
        <v>80</v>
      </c>
      <c r="L20" s="49" t="s">
        <v>80</v>
      </c>
      <c r="M20" s="49" t="s">
        <v>80</v>
      </c>
      <c r="N20" s="6" t="s">
        <v>58</v>
      </c>
      <c r="O20" s="6" t="s">
        <v>64</v>
      </c>
      <c r="P20" s="10">
        <v>119036.31</v>
      </c>
      <c r="Q20" s="10">
        <v>101439.95</v>
      </c>
      <c r="R20" s="6">
        <v>2563</v>
      </c>
      <c r="S20" s="15" t="s">
        <v>127</v>
      </c>
      <c r="T20" s="15" t="s">
        <v>534</v>
      </c>
      <c r="U20" s="15" t="s">
        <v>83</v>
      </c>
      <c r="V20" s="72"/>
      <c r="W20" s="72"/>
      <c r="X20" s="72"/>
      <c r="Y20" s="72"/>
      <c r="Z20" s="7">
        <f>((50*4*10)/1000)</f>
        <v>2</v>
      </c>
      <c r="AA20" s="7">
        <f>((50*4*10)/1000)</f>
        <v>2</v>
      </c>
      <c r="AB20" s="6">
        <v>30</v>
      </c>
      <c r="AC20" s="6">
        <v>12</v>
      </c>
      <c r="AD20" s="21">
        <f t="shared" si="2"/>
        <v>720</v>
      </c>
      <c r="AE20" s="21">
        <f t="shared" si="3"/>
        <v>720</v>
      </c>
    </row>
    <row r="21" spans="1:31" s="29" customFormat="1" ht="107.25" customHeight="1">
      <c r="A21" s="10">
        <v>17</v>
      </c>
      <c r="B21" s="5" t="s">
        <v>19</v>
      </c>
      <c r="C21" s="5">
        <v>2</v>
      </c>
      <c r="D21" s="5" t="s">
        <v>71</v>
      </c>
      <c r="E21" s="5" t="s">
        <v>128</v>
      </c>
      <c r="F21" s="15" t="s">
        <v>72</v>
      </c>
      <c r="G21" s="15" t="s">
        <v>13</v>
      </c>
      <c r="H21" s="49" t="s">
        <v>80</v>
      </c>
      <c r="I21" s="49" t="s">
        <v>80</v>
      </c>
      <c r="J21" s="49" t="s">
        <v>80</v>
      </c>
      <c r="K21" s="49" t="s">
        <v>80</v>
      </c>
      <c r="L21" s="49" t="s">
        <v>80</v>
      </c>
      <c r="M21" s="49" t="s">
        <v>80</v>
      </c>
      <c r="N21" s="6" t="s">
        <v>58</v>
      </c>
      <c r="O21" s="6" t="s">
        <v>64</v>
      </c>
      <c r="P21" s="10">
        <v>118736.79</v>
      </c>
      <c r="Q21" s="10">
        <v>102180.17</v>
      </c>
      <c r="R21" s="6">
        <v>2561</v>
      </c>
      <c r="S21" s="15" t="s">
        <v>129</v>
      </c>
      <c r="T21" s="15" t="s">
        <v>535</v>
      </c>
      <c r="U21" s="15" t="s">
        <v>83</v>
      </c>
      <c r="V21" s="72"/>
      <c r="W21" s="72"/>
      <c r="X21" s="72"/>
      <c r="Y21" s="72"/>
      <c r="Z21" s="7">
        <f>((50*4*4)/1000)</f>
        <v>0.8</v>
      </c>
      <c r="AA21" s="7">
        <f>((50*4*4)/1000)</f>
        <v>0.8</v>
      </c>
      <c r="AB21" s="6">
        <v>30</v>
      </c>
      <c r="AC21" s="6">
        <v>12</v>
      </c>
      <c r="AD21" s="21">
        <f t="shared" si="2"/>
        <v>288</v>
      </c>
      <c r="AE21" s="21">
        <f t="shared" si="3"/>
        <v>288</v>
      </c>
    </row>
    <row r="22" spans="1:31" s="29" customFormat="1" ht="96" customHeight="1">
      <c r="A22" s="10">
        <v>18</v>
      </c>
      <c r="B22" s="5" t="s">
        <v>19</v>
      </c>
      <c r="C22" s="5">
        <v>2</v>
      </c>
      <c r="D22" s="5" t="s">
        <v>76</v>
      </c>
      <c r="E22" s="5" t="s">
        <v>130</v>
      </c>
      <c r="F22" s="15" t="s">
        <v>20</v>
      </c>
      <c r="G22" s="15" t="s">
        <v>13</v>
      </c>
      <c r="H22" s="49" t="s">
        <v>80</v>
      </c>
      <c r="I22" s="49" t="s">
        <v>80</v>
      </c>
      <c r="J22" s="49" t="s">
        <v>80</v>
      </c>
      <c r="K22" s="49" t="s">
        <v>80</v>
      </c>
      <c r="L22" s="49" t="s">
        <v>80</v>
      </c>
      <c r="M22" s="49" t="s">
        <v>80</v>
      </c>
      <c r="N22" s="6" t="s">
        <v>58</v>
      </c>
      <c r="O22" s="6" t="s">
        <v>64</v>
      </c>
      <c r="P22" s="10">
        <v>119086.07</v>
      </c>
      <c r="Q22" s="10">
        <v>101181.3</v>
      </c>
      <c r="R22" s="6">
        <v>2579</v>
      </c>
      <c r="S22" s="15" t="s">
        <v>131</v>
      </c>
      <c r="T22" s="15" t="s">
        <v>536</v>
      </c>
      <c r="U22" s="15" t="s">
        <v>83</v>
      </c>
      <c r="V22" s="72"/>
      <c r="W22" s="72"/>
      <c r="X22" s="72"/>
      <c r="Y22" s="72"/>
      <c r="Z22" s="7">
        <f>((50*6*1)/1000)</f>
        <v>0.3</v>
      </c>
      <c r="AA22" s="7">
        <f>((50*6*1)/1000)</f>
        <v>0.3</v>
      </c>
      <c r="AB22" s="6">
        <v>30</v>
      </c>
      <c r="AC22" s="6">
        <v>12</v>
      </c>
      <c r="AD22" s="21">
        <f t="shared" si="2"/>
        <v>108</v>
      </c>
      <c r="AE22" s="21">
        <f t="shared" si="3"/>
        <v>108</v>
      </c>
    </row>
    <row r="23" spans="1:31" s="29" customFormat="1" ht="48" customHeight="1">
      <c r="A23" s="137">
        <v>19</v>
      </c>
      <c r="B23" s="135" t="s">
        <v>19</v>
      </c>
      <c r="C23" s="135">
        <v>2</v>
      </c>
      <c r="D23" s="135" t="s">
        <v>73</v>
      </c>
      <c r="E23" s="135" t="s">
        <v>274</v>
      </c>
      <c r="F23" s="163" t="s">
        <v>74</v>
      </c>
      <c r="G23" s="163" t="s">
        <v>13</v>
      </c>
      <c r="H23" s="161" t="s">
        <v>80</v>
      </c>
      <c r="I23" s="161" t="s">
        <v>80</v>
      </c>
      <c r="J23" s="161" t="s">
        <v>80</v>
      </c>
      <c r="K23" s="161" t="s">
        <v>80</v>
      </c>
      <c r="L23" s="161" t="s">
        <v>80</v>
      </c>
      <c r="M23" s="161" t="s">
        <v>80</v>
      </c>
      <c r="N23" s="167" t="s">
        <v>58</v>
      </c>
      <c r="O23" s="167" t="s">
        <v>64</v>
      </c>
      <c r="P23" s="137">
        <v>119229.62</v>
      </c>
      <c r="Q23" s="137">
        <v>101585.44</v>
      </c>
      <c r="R23" s="137">
        <v>2562</v>
      </c>
      <c r="S23" s="137" t="s">
        <v>132</v>
      </c>
      <c r="T23" s="137" t="s">
        <v>537</v>
      </c>
      <c r="U23" s="163" t="s">
        <v>83</v>
      </c>
      <c r="V23" s="165"/>
      <c r="W23" s="165"/>
      <c r="X23" s="165"/>
      <c r="Y23" s="165"/>
      <c r="Z23" s="173">
        <f>((50*4*8)/1000)</f>
        <v>1.6</v>
      </c>
      <c r="AA23" s="173">
        <f>((50*4*8)/1000)</f>
        <v>1.6</v>
      </c>
      <c r="AB23" s="167">
        <v>30</v>
      </c>
      <c r="AC23" s="167">
        <v>12</v>
      </c>
      <c r="AD23" s="171">
        <f>Z23*AB23*AC23</f>
        <v>576</v>
      </c>
      <c r="AE23" s="171">
        <f t="shared" si="3"/>
        <v>576</v>
      </c>
    </row>
    <row r="24" spans="1:31" s="29" customFormat="1" ht="49.5" customHeight="1">
      <c r="A24" s="138"/>
      <c r="B24" s="136"/>
      <c r="C24" s="136"/>
      <c r="D24" s="136"/>
      <c r="E24" s="136"/>
      <c r="F24" s="164"/>
      <c r="G24" s="164"/>
      <c r="H24" s="162"/>
      <c r="I24" s="162"/>
      <c r="J24" s="162"/>
      <c r="K24" s="162"/>
      <c r="L24" s="162"/>
      <c r="M24" s="162"/>
      <c r="N24" s="168"/>
      <c r="O24" s="168"/>
      <c r="P24" s="138"/>
      <c r="Q24" s="138"/>
      <c r="R24" s="138"/>
      <c r="S24" s="138"/>
      <c r="T24" s="138"/>
      <c r="U24" s="164"/>
      <c r="V24" s="166"/>
      <c r="W24" s="166"/>
      <c r="X24" s="166"/>
      <c r="Y24" s="166"/>
      <c r="Z24" s="174"/>
      <c r="AA24" s="174"/>
      <c r="AB24" s="168"/>
      <c r="AC24" s="168"/>
      <c r="AD24" s="172"/>
      <c r="AE24" s="172"/>
    </row>
    <row r="25" spans="1:31" s="29" customFormat="1" ht="101.25" customHeight="1">
      <c r="A25" s="10">
        <v>20</v>
      </c>
      <c r="B25" s="5" t="s">
        <v>19</v>
      </c>
      <c r="C25" s="5">
        <v>2</v>
      </c>
      <c r="D25" s="5" t="s">
        <v>77</v>
      </c>
      <c r="E25" s="5" t="s">
        <v>133</v>
      </c>
      <c r="F25" s="6" t="s">
        <v>75</v>
      </c>
      <c r="G25" s="15" t="s">
        <v>13</v>
      </c>
      <c r="H25" s="49" t="s">
        <v>80</v>
      </c>
      <c r="I25" s="49" t="s">
        <v>80</v>
      </c>
      <c r="J25" s="49" t="s">
        <v>80</v>
      </c>
      <c r="K25" s="49" t="s">
        <v>80</v>
      </c>
      <c r="L25" s="49" t="s">
        <v>80</v>
      </c>
      <c r="M25" s="49" t="s">
        <v>80</v>
      </c>
      <c r="N25" s="6" t="s">
        <v>58</v>
      </c>
      <c r="O25" s="6" t="s">
        <v>64</v>
      </c>
      <c r="P25" s="10">
        <v>119168.77</v>
      </c>
      <c r="Q25" s="10">
        <v>101516.39</v>
      </c>
      <c r="R25" s="6">
        <v>2563</v>
      </c>
      <c r="S25" s="15" t="s">
        <v>134</v>
      </c>
      <c r="T25" s="15" t="s">
        <v>538</v>
      </c>
      <c r="U25" s="15" t="s">
        <v>83</v>
      </c>
      <c r="V25" s="72"/>
      <c r="W25" s="72"/>
      <c r="X25" s="72"/>
      <c r="Y25" s="72"/>
      <c r="Z25" s="7">
        <f>((50*6*1)/1000)</f>
        <v>0.3</v>
      </c>
      <c r="AA25" s="7">
        <f>((50*6*1)/1000)</f>
        <v>0.3</v>
      </c>
      <c r="AB25" s="6">
        <v>30</v>
      </c>
      <c r="AC25" s="6">
        <v>12</v>
      </c>
      <c r="AD25" s="21">
        <f t="shared" si="2"/>
        <v>108</v>
      </c>
      <c r="AE25" s="21">
        <f t="shared" si="3"/>
        <v>108</v>
      </c>
    </row>
    <row r="26" spans="1:31" s="29" customFormat="1" ht="141" customHeight="1">
      <c r="A26" s="71">
        <v>21</v>
      </c>
      <c r="B26" s="5" t="s">
        <v>19</v>
      </c>
      <c r="C26" s="5">
        <v>2</v>
      </c>
      <c r="D26" s="5" t="s">
        <v>301</v>
      </c>
      <c r="E26" s="5" t="s">
        <v>302</v>
      </c>
      <c r="F26" s="6" t="s">
        <v>303</v>
      </c>
      <c r="G26" s="15" t="s">
        <v>13</v>
      </c>
      <c r="H26" s="49" t="s">
        <v>80</v>
      </c>
      <c r="I26" s="49" t="s">
        <v>80</v>
      </c>
      <c r="J26" s="49" t="s">
        <v>80</v>
      </c>
      <c r="K26" s="49" t="s">
        <v>80</v>
      </c>
      <c r="L26" s="49" t="s">
        <v>80</v>
      </c>
      <c r="M26" s="49" t="s">
        <v>80</v>
      </c>
      <c r="N26" s="6" t="s">
        <v>304</v>
      </c>
      <c r="O26" s="6" t="s">
        <v>64</v>
      </c>
      <c r="P26" s="6">
        <v>118698.716</v>
      </c>
      <c r="Q26" s="6">
        <v>102373.475</v>
      </c>
      <c r="R26" s="6">
        <v>2563</v>
      </c>
      <c r="S26" s="6" t="s">
        <v>588</v>
      </c>
      <c r="T26" s="6" t="s">
        <v>589</v>
      </c>
      <c r="U26" s="15" t="s">
        <v>763</v>
      </c>
      <c r="V26" s="6"/>
      <c r="W26" s="70"/>
      <c r="X26" s="70"/>
      <c r="Y26" s="70"/>
      <c r="Z26" s="73">
        <f>(50*4*4)/1000</f>
        <v>0.8</v>
      </c>
      <c r="AA26" s="73">
        <f>(50*4*4)/1000</f>
        <v>0.8</v>
      </c>
      <c r="AB26" s="70">
        <v>30</v>
      </c>
      <c r="AC26" s="70">
        <v>12</v>
      </c>
      <c r="AD26" s="74">
        <f t="shared" si="2"/>
        <v>288</v>
      </c>
      <c r="AE26" s="74">
        <f t="shared" si="3"/>
        <v>288</v>
      </c>
    </row>
    <row r="27" spans="1:31" s="29" customFormat="1" ht="65.25" customHeight="1">
      <c r="A27" s="10">
        <v>22</v>
      </c>
      <c r="B27" s="5" t="s">
        <v>19</v>
      </c>
      <c r="C27" s="5">
        <v>2</v>
      </c>
      <c r="D27" s="5" t="s">
        <v>306</v>
      </c>
      <c r="E27" s="5" t="s">
        <v>360</v>
      </c>
      <c r="F27" s="15" t="s">
        <v>307</v>
      </c>
      <c r="G27" s="15" t="s">
        <v>904</v>
      </c>
      <c r="H27" s="15" t="s">
        <v>943</v>
      </c>
      <c r="I27" s="50">
        <v>43000</v>
      </c>
      <c r="J27" s="51" t="s">
        <v>12</v>
      </c>
      <c r="K27" s="51" t="s">
        <v>12</v>
      </c>
      <c r="L27" s="6" t="s">
        <v>91</v>
      </c>
      <c r="M27" s="46">
        <v>2022</v>
      </c>
      <c r="N27" s="6" t="s">
        <v>304</v>
      </c>
      <c r="O27" s="6" t="s">
        <v>64</v>
      </c>
      <c r="P27" s="6" t="s">
        <v>308</v>
      </c>
      <c r="Q27" s="6" t="s">
        <v>309</v>
      </c>
      <c r="R27" s="6">
        <v>2562</v>
      </c>
      <c r="S27" s="6" t="s">
        <v>540</v>
      </c>
      <c r="T27" s="6" t="s">
        <v>539</v>
      </c>
      <c r="U27" s="15" t="s">
        <v>760</v>
      </c>
      <c r="V27" s="75">
        <v>232</v>
      </c>
      <c r="W27" s="104">
        <v>55</v>
      </c>
      <c r="X27" s="89">
        <f>((0+0+0.017+0.019+0.015+0.017+0.036+0.043+0.015+0.012+0.018+0+0+0+0.033+0.03+0.033+0+0+0.027+0.03+0.029+0.021+0.026+0+0+0.02+0.019+0.019+0.018+0+0+0)/33)</f>
        <v>0.015060606060606068</v>
      </c>
      <c r="Y27" s="70">
        <v>18</v>
      </c>
      <c r="Z27" s="73">
        <f>X27*V27*Y27*0.0036</f>
        <v>0.22641512727272736</v>
      </c>
      <c r="AA27" s="73">
        <f>X27*W27*Y27*0.0036</f>
        <v>0.05367600000000002</v>
      </c>
      <c r="AB27" s="70">
        <v>30</v>
      </c>
      <c r="AC27" s="70">
        <v>12</v>
      </c>
      <c r="AD27" s="74">
        <f>Z27*AB27*AC27</f>
        <v>81.50944581818186</v>
      </c>
      <c r="AE27" s="74">
        <f>AA27*AB27*AC27</f>
        <v>19.323360000000008</v>
      </c>
    </row>
    <row r="28" spans="1:31" s="29" customFormat="1" ht="123.75" customHeight="1">
      <c r="A28" s="10">
        <v>23</v>
      </c>
      <c r="B28" s="5" t="s">
        <v>19</v>
      </c>
      <c r="C28" s="5">
        <v>2</v>
      </c>
      <c r="D28" s="5" t="s">
        <v>310</v>
      </c>
      <c r="E28" s="5" t="s">
        <v>361</v>
      </c>
      <c r="F28" s="15" t="s">
        <v>311</v>
      </c>
      <c r="G28" s="15" t="s">
        <v>314</v>
      </c>
      <c r="H28" s="15" t="s">
        <v>910</v>
      </c>
      <c r="I28" s="120">
        <v>43063</v>
      </c>
      <c r="J28" s="51" t="s">
        <v>12</v>
      </c>
      <c r="K28" s="51" t="s">
        <v>12</v>
      </c>
      <c r="L28" s="6" t="s">
        <v>91</v>
      </c>
      <c r="M28" s="46">
        <v>2022</v>
      </c>
      <c r="N28" s="6" t="s">
        <v>304</v>
      </c>
      <c r="O28" s="6" t="s">
        <v>64</v>
      </c>
      <c r="P28" s="6">
        <v>118518.45</v>
      </c>
      <c r="Q28" s="6" t="s">
        <v>312</v>
      </c>
      <c r="R28" s="6">
        <v>2562</v>
      </c>
      <c r="S28" s="15" t="s">
        <v>379</v>
      </c>
      <c r="T28" s="15" t="s">
        <v>541</v>
      </c>
      <c r="U28" s="15" t="s">
        <v>761</v>
      </c>
      <c r="V28" s="6"/>
      <c r="W28" s="70"/>
      <c r="X28" s="70"/>
      <c r="Y28" s="70"/>
      <c r="Z28" s="73">
        <f>(50*1*6)/1000</f>
        <v>0.3</v>
      </c>
      <c r="AA28" s="73">
        <f>(50*1*6)/1000</f>
        <v>0.3</v>
      </c>
      <c r="AB28" s="70">
        <v>30</v>
      </c>
      <c r="AC28" s="70">
        <v>12</v>
      </c>
      <c r="AD28" s="74">
        <f t="shared" si="2"/>
        <v>108</v>
      </c>
      <c r="AE28" s="74">
        <f t="shared" si="3"/>
        <v>108</v>
      </c>
    </row>
    <row r="29" spans="1:31" s="29" customFormat="1" ht="94.5" customHeight="1">
      <c r="A29" s="10">
        <v>24</v>
      </c>
      <c r="B29" s="5" t="s">
        <v>19</v>
      </c>
      <c r="C29" s="5">
        <v>2</v>
      </c>
      <c r="D29" s="76" t="s">
        <v>313</v>
      </c>
      <c r="E29" s="5" t="s">
        <v>362</v>
      </c>
      <c r="F29" s="15" t="s">
        <v>862</v>
      </c>
      <c r="G29" s="15" t="s">
        <v>314</v>
      </c>
      <c r="H29" s="15" t="s">
        <v>315</v>
      </c>
      <c r="I29" s="50">
        <v>43095</v>
      </c>
      <c r="J29" s="51" t="s">
        <v>12</v>
      </c>
      <c r="K29" s="51" t="s">
        <v>12</v>
      </c>
      <c r="L29" s="6" t="s">
        <v>91</v>
      </c>
      <c r="M29" s="46">
        <v>2022</v>
      </c>
      <c r="N29" s="6" t="s">
        <v>304</v>
      </c>
      <c r="O29" s="6" t="s">
        <v>64</v>
      </c>
      <c r="P29" s="6">
        <v>118427.99</v>
      </c>
      <c r="Q29" s="6">
        <v>102412.35</v>
      </c>
      <c r="R29" s="6">
        <v>2562</v>
      </c>
      <c r="S29" s="15" t="s">
        <v>543</v>
      </c>
      <c r="T29" s="15" t="s">
        <v>542</v>
      </c>
      <c r="U29" s="15" t="s">
        <v>630</v>
      </c>
      <c r="V29" s="6"/>
      <c r="W29" s="70"/>
      <c r="X29" s="70"/>
      <c r="Y29" s="70"/>
      <c r="Z29" s="73">
        <f>50*3*4/1000</f>
        <v>0.6</v>
      </c>
      <c r="AA29" s="73">
        <f>50*3*4/1000</f>
        <v>0.6</v>
      </c>
      <c r="AB29" s="70">
        <v>30</v>
      </c>
      <c r="AC29" s="70">
        <v>12</v>
      </c>
      <c r="AD29" s="74">
        <f>Z29*AB29*AC29</f>
        <v>216</v>
      </c>
      <c r="AE29" s="74">
        <f t="shared" si="3"/>
        <v>216</v>
      </c>
    </row>
    <row r="30" spans="1:31" s="29" customFormat="1" ht="109.5" customHeight="1">
      <c r="A30" s="10">
        <v>25</v>
      </c>
      <c r="B30" s="5" t="s">
        <v>19</v>
      </c>
      <c r="C30" s="5">
        <v>2</v>
      </c>
      <c r="D30" s="76" t="s">
        <v>316</v>
      </c>
      <c r="E30" s="5" t="s">
        <v>317</v>
      </c>
      <c r="F30" s="15" t="s">
        <v>318</v>
      </c>
      <c r="G30" s="15" t="s">
        <v>13</v>
      </c>
      <c r="H30" s="49" t="s">
        <v>80</v>
      </c>
      <c r="I30" s="49" t="s">
        <v>80</v>
      </c>
      <c r="J30" s="49" t="s">
        <v>80</v>
      </c>
      <c r="K30" s="49" t="s">
        <v>80</v>
      </c>
      <c r="L30" s="49" t="s">
        <v>80</v>
      </c>
      <c r="M30" s="49" t="s">
        <v>80</v>
      </c>
      <c r="N30" s="6" t="s">
        <v>304</v>
      </c>
      <c r="O30" s="6" t="s">
        <v>64</v>
      </c>
      <c r="P30" s="6">
        <v>118630.491</v>
      </c>
      <c r="Q30" s="6">
        <v>102326.008</v>
      </c>
      <c r="R30" s="6">
        <v>2565</v>
      </c>
      <c r="S30" s="15" t="s">
        <v>586</v>
      </c>
      <c r="T30" s="15" t="s">
        <v>587</v>
      </c>
      <c r="U30" s="15" t="s">
        <v>305</v>
      </c>
      <c r="V30" s="6"/>
      <c r="W30" s="70"/>
      <c r="X30" s="70"/>
      <c r="Y30" s="70"/>
      <c r="Z30" s="73">
        <f>50*4*4/1000</f>
        <v>0.8</v>
      </c>
      <c r="AA30" s="73">
        <f>50*4*4/1000</f>
        <v>0.8</v>
      </c>
      <c r="AB30" s="70">
        <v>30</v>
      </c>
      <c r="AC30" s="70">
        <v>12</v>
      </c>
      <c r="AD30" s="74">
        <f>Z30*AB30*AC30</f>
        <v>288</v>
      </c>
      <c r="AE30" s="74">
        <f>AA30*AB30*AC30</f>
        <v>288</v>
      </c>
    </row>
    <row r="31" spans="1:31" s="29" customFormat="1" ht="96.75" customHeight="1">
      <c r="A31" s="10">
        <v>26</v>
      </c>
      <c r="B31" s="5" t="s">
        <v>19</v>
      </c>
      <c r="C31" s="5">
        <v>2</v>
      </c>
      <c r="D31" s="76" t="s">
        <v>319</v>
      </c>
      <c r="E31" s="5" t="s">
        <v>363</v>
      </c>
      <c r="F31" s="15" t="s">
        <v>320</v>
      </c>
      <c r="G31" s="15" t="s">
        <v>904</v>
      </c>
      <c r="H31" s="15" t="s">
        <v>944</v>
      </c>
      <c r="I31" s="50">
        <v>42851</v>
      </c>
      <c r="J31" s="51" t="s">
        <v>12</v>
      </c>
      <c r="K31" s="50">
        <v>42909</v>
      </c>
      <c r="L31" s="6" t="s">
        <v>91</v>
      </c>
      <c r="M31" s="49" t="s">
        <v>945</v>
      </c>
      <c r="N31" s="6" t="s">
        <v>304</v>
      </c>
      <c r="O31" s="6" t="s">
        <v>64</v>
      </c>
      <c r="P31" s="6" t="s">
        <v>321</v>
      </c>
      <c r="Q31" s="6" t="s">
        <v>322</v>
      </c>
      <c r="R31" s="6">
        <v>2564</v>
      </c>
      <c r="S31" s="15" t="s">
        <v>380</v>
      </c>
      <c r="T31" s="15" t="s">
        <v>544</v>
      </c>
      <c r="U31" s="15" t="s">
        <v>631</v>
      </c>
      <c r="V31" s="6"/>
      <c r="W31" s="70"/>
      <c r="X31" s="70"/>
      <c r="Y31" s="70"/>
      <c r="Z31" s="73">
        <f>50*1*6/1000</f>
        <v>0.3</v>
      </c>
      <c r="AA31" s="73">
        <f>50*1*6/1000</f>
        <v>0.3</v>
      </c>
      <c r="AB31" s="70">
        <v>30</v>
      </c>
      <c r="AC31" s="70">
        <v>12</v>
      </c>
      <c r="AD31" s="74">
        <f>Z31*AB31*AC31</f>
        <v>108</v>
      </c>
      <c r="AE31" s="74">
        <f t="shared" si="3"/>
        <v>108</v>
      </c>
    </row>
    <row r="32" spans="1:31" s="29" customFormat="1" ht="60" customHeight="1">
      <c r="A32" s="137">
        <v>27</v>
      </c>
      <c r="B32" s="135" t="s">
        <v>19</v>
      </c>
      <c r="C32" s="135">
        <v>2</v>
      </c>
      <c r="D32" s="169" t="s">
        <v>323</v>
      </c>
      <c r="E32" s="135" t="s">
        <v>364</v>
      </c>
      <c r="F32" s="163" t="s">
        <v>324</v>
      </c>
      <c r="G32" s="159" t="s">
        <v>904</v>
      </c>
      <c r="H32" s="159" t="s">
        <v>946</v>
      </c>
      <c r="I32" s="160">
        <v>42977</v>
      </c>
      <c r="J32" s="178">
        <v>42963</v>
      </c>
      <c r="K32" s="158" t="s">
        <v>12</v>
      </c>
      <c r="L32" s="158" t="s">
        <v>91</v>
      </c>
      <c r="M32" s="158">
        <v>2022</v>
      </c>
      <c r="N32" s="167" t="s">
        <v>304</v>
      </c>
      <c r="O32" s="167" t="s">
        <v>64</v>
      </c>
      <c r="P32" s="6">
        <v>118276.48</v>
      </c>
      <c r="Q32" s="6">
        <v>102281.66</v>
      </c>
      <c r="R32" s="6">
        <v>2562</v>
      </c>
      <c r="S32" s="15" t="s">
        <v>546</v>
      </c>
      <c r="T32" s="15" t="s">
        <v>545</v>
      </c>
      <c r="U32" s="15" t="s">
        <v>798</v>
      </c>
      <c r="V32" s="6">
        <v>83</v>
      </c>
      <c r="W32" s="70">
        <v>22</v>
      </c>
      <c r="X32" s="77">
        <f>((0.023+0.024+0.025+0.024+0.025+0.025+0.024+0.024+0.024+0.025+0.025+0.024+0.024+0.025+0.024+0.024+0.024)/17)</f>
        <v>0.024294117647058827</v>
      </c>
      <c r="Y32" s="70">
        <v>18</v>
      </c>
      <c r="Z32" s="73">
        <f>X32*V32*Y32*0.0036</f>
        <v>0.1306634823529412</v>
      </c>
      <c r="AA32" s="73">
        <f>X32*W32*Y32*0.0036</f>
        <v>0.034633694117647065</v>
      </c>
      <c r="AB32" s="70">
        <v>30</v>
      </c>
      <c r="AC32" s="70">
        <v>12</v>
      </c>
      <c r="AD32" s="74">
        <f t="shared" si="2"/>
        <v>47.038853647058836</v>
      </c>
      <c r="AE32" s="74">
        <f t="shared" si="3"/>
        <v>12.468129882352944</v>
      </c>
    </row>
    <row r="33" spans="1:31" s="29" customFormat="1" ht="61.5" customHeight="1">
      <c r="A33" s="138"/>
      <c r="B33" s="136"/>
      <c r="C33" s="136"/>
      <c r="D33" s="170"/>
      <c r="E33" s="136"/>
      <c r="F33" s="164"/>
      <c r="G33" s="159"/>
      <c r="H33" s="157"/>
      <c r="I33" s="160"/>
      <c r="J33" s="158"/>
      <c r="K33" s="158"/>
      <c r="L33" s="158"/>
      <c r="M33" s="158"/>
      <c r="N33" s="168"/>
      <c r="O33" s="168"/>
      <c r="P33" s="6">
        <v>118254.35</v>
      </c>
      <c r="Q33" s="6">
        <v>102265.01</v>
      </c>
      <c r="R33" s="6">
        <v>2562</v>
      </c>
      <c r="S33" s="15" t="s">
        <v>547</v>
      </c>
      <c r="T33" s="15" t="s">
        <v>548</v>
      </c>
      <c r="U33" s="15" t="s">
        <v>799</v>
      </c>
      <c r="V33" s="6">
        <v>65</v>
      </c>
      <c r="W33" s="70">
        <v>32</v>
      </c>
      <c r="X33" s="77">
        <f>((0.056+0.055+0.055+0.053+0.05+0.052+0.056+0.054+0.054+0.054+0.054+0.052+0.051+0.052+0.053+0.056+0.052)/17)</f>
        <v>0.05347058823529414</v>
      </c>
      <c r="Y33" s="70">
        <v>18</v>
      </c>
      <c r="Z33" s="73">
        <f>X33*V33*Y33*0.0036</f>
        <v>0.2252181176470589</v>
      </c>
      <c r="AA33" s="73">
        <f>X33*W33*Y33*0.0036</f>
        <v>0.11087661176470592</v>
      </c>
      <c r="AB33" s="70">
        <v>30</v>
      </c>
      <c r="AC33" s="70">
        <v>12</v>
      </c>
      <c r="AD33" s="74">
        <f t="shared" si="2"/>
        <v>81.0785223529412</v>
      </c>
      <c r="AE33" s="74">
        <f t="shared" si="3"/>
        <v>39.91558023529413</v>
      </c>
    </row>
    <row r="34" spans="1:31" s="29" customFormat="1" ht="111.75" customHeight="1">
      <c r="A34" s="14">
        <v>28</v>
      </c>
      <c r="B34" s="11" t="s">
        <v>19</v>
      </c>
      <c r="C34" s="11">
        <v>2</v>
      </c>
      <c r="D34" s="79" t="s">
        <v>326</v>
      </c>
      <c r="E34" s="5" t="s">
        <v>366</v>
      </c>
      <c r="F34" s="15" t="s">
        <v>327</v>
      </c>
      <c r="G34" s="15" t="s">
        <v>13</v>
      </c>
      <c r="H34" s="49" t="s">
        <v>80</v>
      </c>
      <c r="I34" s="49" t="s">
        <v>80</v>
      </c>
      <c r="J34" s="49" t="s">
        <v>80</v>
      </c>
      <c r="K34" s="49" t="s">
        <v>80</v>
      </c>
      <c r="L34" s="49" t="s">
        <v>80</v>
      </c>
      <c r="M34" s="49" t="s">
        <v>80</v>
      </c>
      <c r="N34" s="6" t="s">
        <v>304</v>
      </c>
      <c r="O34" s="6" t="s">
        <v>64</v>
      </c>
      <c r="P34" s="6"/>
      <c r="Q34" s="6"/>
      <c r="R34" s="6"/>
      <c r="S34" s="15"/>
      <c r="T34" s="15"/>
      <c r="U34" s="15" t="s">
        <v>623</v>
      </c>
      <c r="V34" s="6"/>
      <c r="W34" s="70"/>
      <c r="X34" s="70"/>
      <c r="Y34" s="70"/>
      <c r="Z34" s="73">
        <f>(600*50/1000)/3</f>
        <v>10</v>
      </c>
      <c r="AA34" s="73">
        <f>(600*50/1000)/3</f>
        <v>10</v>
      </c>
      <c r="AB34" s="70">
        <v>22</v>
      </c>
      <c r="AC34" s="70">
        <v>10</v>
      </c>
      <c r="AD34" s="74">
        <f t="shared" si="2"/>
        <v>2200</v>
      </c>
      <c r="AE34" s="74">
        <f t="shared" si="3"/>
        <v>2200</v>
      </c>
    </row>
    <row r="35" spans="1:31" s="29" customFormat="1" ht="120" customHeight="1">
      <c r="A35" s="10">
        <v>29</v>
      </c>
      <c r="B35" s="5" t="s">
        <v>19</v>
      </c>
      <c r="C35" s="5">
        <v>2</v>
      </c>
      <c r="D35" s="79" t="s">
        <v>328</v>
      </c>
      <c r="E35" s="5" t="s">
        <v>367</v>
      </c>
      <c r="F35" s="15" t="s">
        <v>863</v>
      </c>
      <c r="G35" s="15" t="s">
        <v>13</v>
      </c>
      <c r="H35" s="49" t="s">
        <v>80</v>
      </c>
      <c r="I35" s="49" t="s">
        <v>80</v>
      </c>
      <c r="J35" s="49" t="s">
        <v>80</v>
      </c>
      <c r="K35" s="49" t="s">
        <v>80</v>
      </c>
      <c r="L35" s="49" t="s">
        <v>80</v>
      </c>
      <c r="M35" s="49" t="s">
        <v>80</v>
      </c>
      <c r="N35" s="6" t="s">
        <v>304</v>
      </c>
      <c r="O35" s="6" t="s">
        <v>64</v>
      </c>
      <c r="P35" s="6"/>
      <c r="Q35" s="6"/>
      <c r="R35" s="6"/>
      <c r="S35" s="15"/>
      <c r="T35" s="15"/>
      <c r="U35" s="15" t="s">
        <v>762</v>
      </c>
      <c r="V35" s="6"/>
      <c r="W35" s="70"/>
      <c r="X35" s="70"/>
      <c r="Y35" s="70"/>
      <c r="Z35" s="73">
        <f>(50*14/1000)/3</f>
        <v>0.2333333333333333</v>
      </c>
      <c r="AA35" s="73">
        <f>(50*14/1000)/3</f>
        <v>0.2333333333333333</v>
      </c>
      <c r="AB35" s="70">
        <v>30</v>
      </c>
      <c r="AC35" s="70">
        <v>12</v>
      </c>
      <c r="AD35" s="74">
        <f>Z35*AB35*AC35</f>
        <v>83.99999999999999</v>
      </c>
      <c r="AE35" s="74">
        <f>AA35*AB35*AC35</f>
        <v>83.99999999999999</v>
      </c>
    </row>
    <row r="36" spans="1:31" s="31" customFormat="1" ht="25.5">
      <c r="A36" s="10">
        <v>30</v>
      </c>
      <c r="B36" s="5" t="s">
        <v>19</v>
      </c>
      <c r="C36" s="5">
        <v>2</v>
      </c>
      <c r="D36" s="76" t="s">
        <v>329</v>
      </c>
      <c r="E36" s="5" t="s">
        <v>368</v>
      </c>
      <c r="F36" s="5" t="s">
        <v>822</v>
      </c>
      <c r="G36" s="5" t="s">
        <v>904</v>
      </c>
      <c r="H36" s="5" t="s">
        <v>947</v>
      </c>
      <c r="I36" s="13">
        <v>43164</v>
      </c>
      <c r="J36" s="48">
        <v>43181</v>
      </c>
      <c r="K36" s="48">
        <v>43200</v>
      </c>
      <c r="L36" s="10" t="s">
        <v>91</v>
      </c>
      <c r="M36" s="48">
        <v>45025</v>
      </c>
      <c r="N36" s="10" t="s">
        <v>304</v>
      </c>
      <c r="O36" s="10" t="s">
        <v>64</v>
      </c>
      <c r="P36" s="10"/>
      <c r="Q36" s="10"/>
      <c r="R36" s="10">
        <v>2561</v>
      </c>
      <c r="S36" s="15" t="s">
        <v>823</v>
      </c>
      <c r="T36" s="15" t="s">
        <v>824</v>
      </c>
      <c r="U36" s="5" t="s">
        <v>807</v>
      </c>
      <c r="V36" s="10"/>
      <c r="W36" s="97"/>
      <c r="X36" s="66"/>
      <c r="Y36" s="97"/>
      <c r="Z36" s="66"/>
      <c r="AA36" s="66"/>
      <c r="AB36" s="97"/>
      <c r="AC36" s="97"/>
      <c r="AD36" s="67">
        <f>AVERAGE(AD37:AD38)</f>
        <v>204.0664404705882</v>
      </c>
      <c r="AE36" s="67">
        <f>AVERAGE(AE37:AE38)</f>
        <v>104.02034823529412</v>
      </c>
    </row>
    <row r="37" spans="1:31" s="31" customFormat="1" ht="27.75" customHeight="1">
      <c r="A37" s="10"/>
      <c r="B37" s="5"/>
      <c r="C37" s="5"/>
      <c r="D37" s="76"/>
      <c r="E37" s="5"/>
      <c r="F37" s="5"/>
      <c r="G37" s="5"/>
      <c r="H37" s="5"/>
      <c r="I37" s="13"/>
      <c r="J37" s="12"/>
      <c r="K37" s="12"/>
      <c r="L37" s="10"/>
      <c r="M37" s="12"/>
      <c r="N37" s="10"/>
      <c r="O37" s="10"/>
      <c r="P37" s="10"/>
      <c r="Q37" s="10"/>
      <c r="R37" s="10"/>
      <c r="S37" s="5"/>
      <c r="T37" s="5"/>
      <c r="U37" s="5" t="s">
        <v>637</v>
      </c>
      <c r="V37" s="10">
        <v>57</v>
      </c>
      <c r="W37" s="97">
        <v>30</v>
      </c>
      <c r="X37" s="66">
        <f>((2.17+1.75+0.2+0.06+0.04)/5)</f>
        <v>0.844</v>
      </c>
      <c r="Y37" s="97">
        <v>8</v>
      </c>
      <c r="Z37" s="66">
        <f>X37*V37*Y37*0.0036</f>
        <v>1.3855103999999998</v>
      </c>
      <c r="AA37" s="66">
        <f>X37*W37*Y37*0.0036</f>
        <v>0.729216</v>
      </c>
      <c r="AB37" s="97">
        <v>22</v>
      </c>
      <c r="AC37" s="97">
        <v>10</v>
      </c>
      <c r="AD37" s="67">
        <f>Z37*AB37*AC37</f>
        <v>304.81228799999997</v>
      </c>
      <c r="AE37" s="67">
        <f>AA37*AB37*AC37</f>
        <v>160.42752000000002</v>
      </c>
    </row>
    <row r="38" spans="1:31" s="31" customFormat="1" ht="54" customHeight="1">
      <c r="A38" s="10"/>
      <c r="B38" s="5"/>
      <c r="C38" s="5"/>
      <c r="D38" s="76"/>
      <c r="E38" s="5"/>
      <c r="F38" s="5"/>
      <c r="G38" s="5"/>
      <c r="H38" s="5"/>
      <c r="I38" s="13"/>
      <c r="J38" s="12"/>
      <c r="K38" s="12"/>
      <c r="L38" s="10"/>
      <c r="M38" s="12"/>
      <c r="N38" s="10"/>
      <c r="O38" s="10"/>
      <c r="P38" s="10"/>
      <c r="Q38" s="10"/>
      <c r="R38" s="10"/>
      <c r="S38" s="5"/>
      <c r="T38" s="5"/>
      <c r="U38" s="5" t="s">
        <v>801</v>
      </c>
      <c r="V38" s="10">
        <v>21.7</v>
      </c>
      <c r="W38" s="97">
        <v>10</v>
      </c>
      <c r="X38" s="66">
        <f>((0.375+0.377+0.366+0.462+0.443+0.86+0.884+0.978+0.881+0.83+0.884+0.856+0.801+0.982+0.948+0.91+0.938)/17)</f>
        <v>0.7514705882352941</v>
      </c>
      <c r="Y38" s="97">
        <v>8</v>
      </c>
      <c r="Z38" s="66">
        <f>X38*V38*Y38*0.0036</f>
        <v>0.46963905882352935</v>
      </c>
      <c r="AA38" s="66">
        <f>X38*W38*Y38*0.0036</f>
        <v>0.2164235294117647</v>
      </c>
      <c r="AB38" s="97">
        <v>22</v>
      </c>
      <c r="AC38" s="97">
        <v>10</v>
      </c>
      <c r="AD38" s="67">
        <f>Z38*AB38*AC38</f>
        <v>103.32059294117644</v>
      </c>
      <c r="AE38" s="67">
        <f>AA38*AB38*AC38</f>
        <v>47.613176470588236</v>
      </c>
    </row>
    <row r="39" spans="1:31" s="29" customFormat="1" ht="107.25" customHeight="1">
      <c r="A39" s="10">
        <v>31</v>
      </c>
      <c r="B39" s="5" t="s">
        <v>19</v>
      </c>
      <c r="C39" s="5">
        <v>2</v>
      </c>
      <c r="D39" s="76" t="s">
        <v>330</v>
      </c>
      <c r="E39" s="5" t="s">
        <v>369</v>
      </c>
      <c r="F39" s="15" t="s">
        <v>20</v>
      </c>
      <c r="G39" s="15" t="s">
        <v>13</v>
      </c>
      <c r="H39" s="49" t="s">
        <v>80</v>
      </c>
      <c r="I39" s="49" t="s">
        <v>80</v>
      </c>
      <c r="J39" s="49" t="s">
        <v>80</v>
      </c>
      <c r="K39" s="49" t="s">
        <v>80</v>
      </c>
      <c r="L39" s="49" t="s">
        <v>80</v>
      </c>
      <c r="M39" s="49" t="s">
        <v>80</v>
      </c>
      <c r="N39" s="6" t="s">
        <v>58</v>
      </c>
      <c r="O39" s="6" t="s">
        <v>64</v>
      </c>
      <c r="P39" s="6"/>
      <c r="Q39" s="6"/>
      <c r="R39" s="6"/>
      <c r="S39" s="15"/>
      <c r="T39" s="15"/>
      <c r="U39" s="15" t="s">
        <v>331</v>
      </c>
      <c r="V39" s="6"/>
      <c r="W39" s="70"/>
      <c r="X39" s="70"/>
      <c r="Y39" s="70"/>
      <c r="Z39" s="70">
        <f>(50*4*4)/1000</f>
        <v>0.8</v>
      </c>
      <c r="AA39" s="70">
        <f>(50*4*4)/1000</f>
        <v>0.8</v>
      </c>
      <c r="AB39" s="70">
        <v>30</v>
      </c>
      <c r="AC39" s="70">
        <v>12</v>
      </c>
      <c r="AD39" s="74">
        <f t="shared" si="2"/>
        <v>288</v>
      </c>
      <c r="AE39" s="74">
        <f t="shared" si="3"/>
        <v>288</v>
      </c>
    </row>
    <row r="40" spans="1:31" s="29" customFormat="1" ht="103.5" customHeight="1">
      <c r="A40" s="10">
        <v>32</v>
      </c>
      <c r="B40" s="5" t="s">
        <v>19</v>
      </c>
      <c r="C40" s="5">
        <v>2</v>
      </c>
      <c r="D40" s="76" t="s">
        <v>332</v>
      </c>
      <c r="E40" s="5" t="s">
        <v>370</v>
      </c>
      <c r="F40" s="15" t="s">
        <v>333</v>
      </c>
      <c r="G40" s="15" t="s">
        <v>13</v>
      </c>
      <c r="H40" s="49" t="s">
        <v>80</v>
      </c>
      <c r="I40" s="49" t="s">
        <v>80</v>
      </c>
      <c r="J40" s="49" t="s">
        <v>80</v>
      </c>
      <c r="K40" s="49" t="s">
        <v>80</v>
      </c>
      <c r="L40" s="49" t="s">
        <v>80</v>
      </c>
      <c r="M40" s="49" t="s">
        <v>80</v>
      </c>
      <c r="N40" s="6" t="s">
        <v>58</v>
      </c>
      <c r="O40" s="6" t="s">
        <v>64</v>
      </c>
      <c r="P40" s="6">
        <v>118434.447</v>
      </c>
      <c r="Q40" s="6">
        <v>102403.721</v>
      </c>
      <c r="R40" s="6">
        <v>2562</v>
      </c>
      <c r="S40" s="15" t="s">
        <v>590</v>
      </c>
      <c r="T40" s="15" t="s">
        <v>591</v>
      </c>
      <c r="U40" s="15" t="s">
        <v>331</v>
      </c>
      <c r="V40" s="6"/>
      <c r="W40" s="70"/>
      <c r="X40" s="78"/>
      <c r="Y40" s="70"/>
      <c r="Z40" s="70">
        <f>(50*4*4)/1000</f>
        <v>0.8</v>
      </c>
      <c r="AA40" s="70">
        <f>(50*4*4)/1000</f>
        <v>0.8</v>
      </c>
      <c r="AB40" s="70">
        <v>30</v>
      </c>
      <c r="AC40" s="70">
        <v>12</v>
      </c>
      <c r="AD40" s="74">
        <f t="shared" si="2"/>
        <v>288</v>
      </c>
      <c r="AE40" s="74">
        <f t="shared" si="3"/>
        <v>288</v>
      </c>
    </row>
    <row r="41" spans="1:31" s="29" customFormat="1" ht="111" customHeight="1">
      <c r="A41" s="10">
        <v>33</v>
      </c>
      <c r="B41" s="5" t="s">
        <v>19</v>
      </c>
      <c r="C41" s="5">
        <v>2</v>
      </c>
      <c r="D41" s="76" t="s">
        <v>334</v>
      </c>
      <c r="E41" s="5" t="s">
        <v>592</v>
      </c>
      <c r="F41" s="15" t="s">
        <v>864</v>
      </c>
      <c r="G41" s="15" t="s">
        <v>13</v>
      </c>
      <c r="H41" s="49" t="s">
        <v>80</v>
      </c>
      <c r="I41" s="49" t="s">
        <v>80</v>
      </c>
      <c r="J41" s="49" t="s">
        <v>80</v>
      </c>
      <c r="K41" s="49" t="s">
        <v>80</v>
      </c>
      <c r="L41" s="49" t="s">
        <v>80</v>
      </c>
      <c r="M41" s="49" t="s">
        <v>80</v>
      </c>
      <c r="N41" s="6" t="s">
        <v>58</v>
      </c>
      <c r="O41" s="6" t="s">
        <v>64</v>
      </c>
      <c r="P41" s="6">
        <v>118678.94</v>
      </c>
      <c r="Q41" s="6">
        <v>101480.692</v>
      </c>
      <c r="R41" s="6">
        <v>2563</v>
      </c>
      <c r="S41" s="15" t="s">
        <v>593</v>
      </c>
      <c r="T41" s="15" t="s">
        <v>594</v>
      </c>
      <c r="U41" s="15" t="s">
        <v>331</v>
      </c>
      <c r="V41" s="6"/>
      <c r="W41" s="70"/>
      <c r="X41" s="70"/>
      <c r="Y41" s="70"/>
      <c r="Z41" s="70">
        <f>50*4*4/1000</f>
        <v>0.8</v>
      </c>
      <c r="AA41" s="70">
        <f>50*4*4/1000</f>
        <v>0.8</v>
      </c>
      <c r="AB41" s="70">
        <v>30</v>
      </c>
      <c r="AC41" s="70">
        <v>12</v>
      </c>
      <c r="AD41" s="74">
        <f t="shared" si="2"/>
        <v>288</v>
      </c>
      <c r="AE41" s="74">
        <f t="shared" si="3"/>
        <v>288</v>
      </c>
    </row>
    <row r="42" spans="1:31" s="31" customFormat="1" ht="54" customHeight="1">
      <c r="A42" s="10">
        <v>34</v>
      </c>
      <c r="B42" s="5" t="s">
        <v>19</v>
      </c>
      <c r="C42" s="5">
        <v>2</v>
      </c>
      <c r="D42" s="76" t="s">
        <v>356</v>
      </c>
      <c r="E42" s="5" t="s">
        <v>378</v>
      </c>
      <c r="F42" s="26" t="s">
        <v>20</v>
      </c>
      <c r="G42" s="26" t="s">
        <v>13</v>
      </c>
      <c r="H42" s="12" t="s">
        <v>80</v>
      </c>
      <c r="I42" s="12" t="s">
        <v>80</v>
      </c>
      <c r="J42" s="12" t="s">
        <v>80</v>
      </c>
      <c r="K42" s="12" t="s">
        <v>80</v>
      </c>
      <c r="L42" s="12" t="s">
        <v>80</v>
      </c>
      <c r="M42" s="12" t="s">
        <v>80</v>
      </c>
      <c r="N42" s="10" t="s">
        <v>58</v>
      </c>
      <c r="O42" s="10" t="s">
        <v>64</v>
      </c>
      <c r="P42" s="21">
        <v>1024241</v>
      </c>
      <c r="Q42" s="21">
        <v>1004409</v>
      </c>
      <c r="R42" s="10">
        <v>2554</v>
      </c>
      <c r="S42" s="5" t="s">
        <v>550</v>
      </c>
      <c r="T42" s="5" t="s">
        <v>551</v>
      </c>
      <c r="U42" s="5" t="s">
        <v>772</v>
      </c>
      <c r="V42" s="10">
        <v>410</v>
      </c>
      <c r="W42" s="10">
        <v>520</v>
      </c>
      <c r="X42" s="9">
        <v>0.8333333333333334</v>
      </c>
      <c r="Y42" s="10">
        <v>12</v>
      </c>
      <c r="Z42" s="9">
        <f>X42*V42*Y42*0.0036</f>
        <v>14.76</v>
      </c>
      <c r="AA42" s="9">
        <f>X42*W42*Y42*0.0036</f>
        <v>18.72</v>
      </c>
      <c r="AB42" s="10">
        <v>22</v>
      </c>
      <c r="AC42" s="10">
        <v>12</v>
      </c>
      <c r="AD42" s="21">
        <f t="shared" si="2"/>
        <v>3896.6399999999994</v>
      </c>
      <c r="AE42" s="21">
        <f t="shared" si="3"/>
        <v>4942.08</v>
      </c>
    </row>
    <row r="43" spans="1:31" s="29" customFormat="1" ht="55.5" customHeight="1">
      <c r="A43" s="10">
        <v>35</v>
      </c>
      <c r="B43" s="5" t="s">
        <v>19</v>
      </c>
      <c r="C43" s="5">
        <v>2</v>
      </c>
      <c r="D43" s="76" t="s">
        <v>357</v>
      </c>
      <c r="E43" s="5" t="s">
        <v>358</v>
      </c>
      <c r="F43" s="46" t="s">
        <v>20</v>
      </c>
      <c r="G43" s="46" t="s">
        <v>13</v>
      </c>
      <c r="H43" s="49" t="s">
        <v>80</v>
      </c>
      <c r="I43" s="49" t="s">
        <v>80</v>
      </c>
      <c r="J43" s="49" t="s">
        <v>80</v>
      </c>
      <c r="K43" s="49" t="s">
        <v>80</v>
      </c>
      <c r="L43" s="49" t="s">
        <v>80</v>
      </c>
      <c r="M43" s="49" t="s">
        <v>80</v>
      </c>
      <c r="N43" s="6" t="s">
        <v>58</v>
      </c>
      <c r="O43" s="6" t="s">
        <v>64</v>
      </c>
      <c r="P43" s="56">
        <v>1018639</v>
      </c>
      <c r="Q43" s="56">
        <v>100103</v>
      </c>
      <c r="R43" s="6">
        <v>2563</v>
      </c>
      <c r="S43" s="15" t="s">
        <v>553</v>
      </c>
      <c r="T43" s="15" t="s">
        <v>552</v>
      </c>
      <c r="U43" s="15" t="s">
        <v>764</v>
      </c>
      <c r="V43" s="6">
        <v>16</v>
      </c>
      <c r="W43" s="6">
        <v>5</v>
      </c>
      <c r="X43" s="80">
        <v>0.023</v>
      </c>
      <c r="Y43" s="6">
        <v>18</v>
      </c>
      <c r="Z43" s="66">
        <f>X43*V43*Y43*0.0036</f>
        <v>0.023846399999999997</v>
      </c>
      <c r="AA43" s="66">
        <f>X43*W43*Y43*0.0036</f>
        <v>0.007451999999999999</v>
      </c>
      <c r="AB43" s="97">
        <v>30</v>
      </c>
      <c r="AC43" s="97">
        <v>12</v>
      </c>
      <c r="AD43" s="67">
        <f>Z43*AB43*AC43</f>
        <v>8.584703999999999</v>
      </c>
      <c r="AE43" s="67">
        <f t="shared" si="3"/>
        <v>2.6827199999999998</v>
      </c>
    </row>
    <row r="44" spans="1:31" s="29" customFormat="1" ht="129.75" customHeight="1">
      <c r="A44" s="10">
        <v>36</v>
      </c>
      <c r="B44" s="5" t="s">
        <v>19</v>
      </c>
      <c r="C44" s="5">
        <v>2</v>
      </c>
      <c r="D44" s="76" t="s">
        <v>382</v>
      </c>
      <c r="E44" s="5" t="s">
        <v>371</v>
      </c>
      <c r="F44" s="46" t="s">
        <v>431</v>
      </c>
      <c r="G44" s="46" t="s">
        <v>904</v>
      </c>
      <c r="H44" s="46" t="s">
        <v>948</v>
      </c>
      <c r="I44" s="51">
        <v>43315</v>
      </c>
      <c r="J44" s="51">
        <v>43336</v>
      </c>
      <c r="K44" s="51">
        <v>43354</v>
      </c>
      <c r="L44" s="49" t="s">
        <v>91</v>
      </c>
      <c r="M44" s="51">
        <v>45179</v>
      </c>
      <c r="N44" s="6" t="s">
        <v>58</v>
      </c>
      <c r="O44" s="6" t="s">
        <v>64</v>
      </c>
      <c r="P44" s="56">
        <v>1024084</v>
      </c>
      <c r="Q44" s="56">
        <v>1002402</v>
      </c>
      <c r="R44" s="6">
        <v>2559</v>
      </c>
      <c r="S44" s="15" t="s">
        <v>555</v>
      </c>
      <c r="T44" s="15" t="s">
        <v>554</v>
      </c>
      <c r="U44" s="15" t="s">
        <v>765</v>
      </c>
      <c r="V44" s="6"/>
      <c r="W44" s="6"/>
      <c r="X44" s="6"/>
      <c r="Y44" s="6"/>
      <c r="Z44" s="68">
        <f>50*13*4/1000</f>
        <v>2.6</v>
      </c>
      <c r="AA44" s="68">
        <f>50*13*4/1000</f>
        <v>2.6</v>
      </c>
      <c r="AB44" s="6">
        <v>30</v>
      </c>
      <c r="AC44" s="6">
        <v>12</v>
      </c>
      <c r="AD44" s="56">
        <f t="shared" si="2"/>
        <v>936</v>
      </c>
      <c r="AE44" s="56">
        <f t="shared" si="3"/>
        <v>936</v>
      </c>
    </row>
    <row r="45" spans="1:31" s="29" customFormat="1" ht="102.75" customHeight="1">
      <c r="A45" s="10">
        <v>37</v>
      </c>
      <c r="B45" s="5" t="s">
        <v>19</v>
      </c>
      <c r="C45" s="5">
        <v>2</v>
      </c>
      <c r="D45" s="76" t="s">
        <v>375</v>
      </c>
      <c r="E45" s="5" t="s">
        <v>376</v>
      </c>
      <c r="F45" s="15" t="s">
        <v>622</v>
      </c>
      <c r="G45" s="15" t="s">
        <v>314</v>
      </c>
      <c r="H45" s="46" t="s">
        <v>949</v>
      </c>
      <c r="I45" s="50">
        <v>43816</v>
      </c>
      <c r="J45" s="51">
        <v>43826</v>
      </c>
      <c r="K45" s="49" t="s">
        <v>12</v>
      </c>
      <c r="L45" s="49" t="s">
        <v>91</v>
      </c>
      <c r="M45" s="49">
        <v>2025</v>
      </c>
      <c r="N45" s="6" t="s">
        <v>58</v>
      </c>
      <c r="O45" s="6" t="s">
        <v>64</v>
      </c>
      <c r="P45" s="56">
        <v>119121.55</v>
      </c>
      <c r="Q45" s="56">
        <v>101206.06</v>
      </c>
      <c r="R45" s="6">
        <v>2583</v>
      </c>
      <c r="S45" s="15" t="s">
        <v>595</v>
      </c>
      <c r="T45" s="15" t="s">
        <v>596</v>
      </c>
      <c r="U45" s="15" t="s">
        <v>305</v>
      </c>
      <c r="V45" s="70"/>
      <c r="W45" s="70"/>
      <c r="X45" s="70"/>
      <c r="Y45" s="70"/>
      <c r="Z45" s="73">
        <f>50*4*4/1000</f>
        <v>0.8</v>
      </c>
      <c r="AA45" s="73">
        <f>50*4*4/1000</f>
        <v>0.8</v>
      </c>
      <c r="AB45" s="70">
        <v>30</v>
      </c>
      <c r="AC45" s="70">
        <v>12</v>
      </c>
      <c r="AD45" s="74">
        <f t="shared" si="2"/>
        <v>288</v>
      </c>
      <c r="AE45" s="74">
        <f t="shared" si="3"/>
        <v>288</v>
      </c>
    </row>
    <row r="46" spans="1:31" s="29" customFormat="1" ht="51">
      <c r="A46" s="10">
        <v>38</v>
      </c>
      <c r="B46" s="5" t="s">
        <v>19</v>
      </c>
      <c r="C46" s="5">
        <v>2</v>
      </c>
      <c r="D46" s="76" t="s">
        <v>386</v>
      </c>
      <c r="E46" s="5" t="s">
        <v>387</v>
      </c>
      <c r="F46" s="15" t="s">
        <v>404</v>
      </c>
      <c r="G46" s="15" t="s">
        <v>13</v>
      </c>
      <c r="H46" s="49" t="s">
        <v>80</v>
      </c>
      <c r="I46" s="49" t="s">
        <v>80</v>
      </c>
      <c r="J46" s="49" t="s">
        <v>80</v>
      </c>
      <c r="K46" s="49" t="s">
        <v>80</v>
      </c>
      <c r="L46" s="49" t="s">
        <v>80</v>
      </c>
      <c r="M46" s="49" t="s">
        <v>80</v>
      </c>
      <c r="N46" s="6" t="s">
        <v>58</v>
      </c>
      <c r="O46" s="6" t="s">
        <v>64</v>
      </c>
      <c r="P46" s="56">
        <v>117868.52</v>
      </c>
      <c r="Q46" s="56">
        <v>101980.34</v>
      </c>
      <c r="R46" s="6">
        <v>2564</v>
      </c>
      <c r="S46" s="15" t="s">
        <v>599</v>
      </c>
      <c r="T46" s="15" t="s">
        <v>598</v>
      </c>
      <c r="U46" s="15" t="s">
        <v>597</v>
      </c>
      <c r="V46" s="70">
        <v>5</v>
      </c>
      <c r="W46" s="70">
        <v>23</v>
      </c>
      <c r="X46" s="73">
        <f>((0.009+0.012+0.016+0.034+0.353+0.307+0.037+0.016+0.025+0.213+0.225+0.171+0.087+0.064+0.011+0.013+0.015)/17)</f>
        <v>0.09458823529411764</v>
      </c>
      <c r="Y46" s="70">
        <v>18</v>
      </c>
      <c r="Z46" s="73">
        <f>X46*V46*Y46*0.0036</f>
        <v>0.030646588235294113</v>
      </c>
      <c r="AA46" s="73">
        <f>X46*W46*Y46*0.0036</f>
        <v>0.14097430588235293</v>
      </c>
      <c r="AB46" s="70">
        <v>30</v>
      </c>
      <c r="AC46" s="70">
        <v>12</v>
      </c>
      <c r="AD46" s="74">
        <f t="shared" si="2"/>
        <v>11.032771764705881</v>
      </c>
      <c r="AE46" s="74">
        <f t="shared" si="3"/>
        <v>50.75075011764705</v>
      </c>
    </row>
    <row r="47" spans="1:31" s="29" customFormat="1" ht="133.5" customHeight="1">
      <c r="A47" s="71">
        <v>39</v>
      </c>
      <c r="B47" s="65" t="s">
        <v>19</v>
      </c>
      <c r="C47" s="65">
        <v>2</v>
      </c>
      <c r="D47" s="81" t="s">
        <v>388</v>
      </c>
      <c r="E47" s="65" t="s">
        <v>441</v>
      </c>
      <c r="F47" s="40" t="s">
        <v>389</v>
      </c>
      <c r="G47" s="47" t="s">
        <v>13</v>
      </c>
      <c r="H47" s="49" t="s">
        <v>80</v>
      </c>
      <c r="I47" s="49" t="s">
        <v>80</v>
      </c>
      <c r="J47" s="49" t="s">
        <v>80</v>
      </c>
      <c r="K47" s="49" t="s">
        <v>80</v>
      </c>
      <c r="L47" s="49" t="s">
        <v>80</v>
      </c>
      <c r="M47" s="49" t="s">
        <v>80</v>
      </c>
      <c r="N47" s="42" t="s">
        <v>58</v>
      </c>
      <c r="O47" s="42" t="s">
        <v>64</v>
      </c>
      <c r="P47" s="57"/>
      <c r="Q47" s="57"/>
      <c r="R47" s="41"/>
      <c r="S47" s="40"/>
      <c r="T47" s="40"/>
      <c r="U47" s="82" t="s">
        <v>766</v>
      </c>
      <c r="V47" s="42"/>
      <c r="W47" s="42"/>
      <c r="X47" s="42"/>
      <c r="Y47" s="70"/>
      <c r="Z47" s="73">
        <f>50*4*4/1000</f>
        <v>0.8</v>
      </c>
      <c r="AA47" s="73">
        <f>50*4*4/1000</f>
        <v>0.8</v>
      </c>
      <c r="AB47" s="70">
        <v>30</v>
      </c>
      <c r="AC47" s="70">
        <v>12</v>
      </c>
      <c r="AD47" s="74">
        <f t="shared" si="2"/>
        <v>288</v>
      </c>
      <c r="AE47" s="74">
        <f t="shared" si="3"/>
        <v>288</v>
      </c>
    </row>
    <row r="48" spans="1:31" s="29" customFormat="1" ht="100.5" customHeight="1">
      <c r="A48" s="10">
        <v>40</v>
      </c>
      <c r="B48" s="5" t="s">
        <v>19</v>
      </c>
      <c r="C48" s="5">
        <v>2</v>
      </c>
      <c r="D48" s="76" t="s">
        <v>390</v>
      </c>
      <c r="E48" s="5" t="s">
        <v>391</v>
      </c>
      <c r="F48" s="15" t="s">
        <v>392</v>
      </c>
      <c r="G48" s="15" t="s">
        <v>13</v>
      </c>
      <c r="H48" s="49" t="s">
        <v>80</v>
      </c>
      <c r="I48" s="49" t="s">
        <v>80</v>
      </c>
      <c r="J48" s="49" t="s">
        <v>80</v>
      </c>
      <c r="K48" s="49" t="s">
        <v>80</v>
      </c>
      <c r="L48" s="49" t="s">
        <v>80</v>
      </c>
      <c r="M48" s="49" t="s">
        <v>80</v>
      </c>
      <c r="N48" s="6" t="s">
        <v>58</v>
      </c>
      <c r="O48" s="6" t="s">
        <v>64</v>
      </c>
      <c r="P48" s="56"/>
      <c r="Q48" s="56"/>
      <c r="R48" s="6"/>
      <c r="S48" s="15"/>
      <c r="T48" s="15"/>
      <c r="U48" s="15" t="s">
        <v>331</v>
      </c>
      <c r="V48" s="6"/>
      <c r="W48" s="6"/>
      <c r="X48" s="68"/>
      <c r="Y48" s="70"/>
      <c r="Z48" s="73">
        <f>50*4*4/1000</f>
        <v>0.8</v>
      </c>
      <c r="AA48" s="73">
        <f>50*4*4/1000</f>
        <v>0.8</v>
      </c>
      <c r="AB48" s="70">
        <v>30</v>
      </c>
      <c r="AC48" s="70">
        <v>12</v>
      </c>
      <c r="AD48" s="74">
        <f t="shared" si="2"/>
        <v>288</v>
      </c>
      <c r="AE48" s="74">
        <f t="shared" si="3"/>
        <v>288</v>
      </c>
    </row>
    <row r="49" spans="1:31" s="29" customFormat="1" ht="97.5" customHeight="1">
      <c r="A49" s="10">
        <v>41</v>
      </c>
      <c r="B49" s="5" t="s">
        <v>19</v>
      </c>
      <c r="C49" s="5">
        <v>2</v>
      </c>
      <c r="D49" s="76" t="s">
        <v>393</v>
      </c>
      <c r="E49" s="5" t="s">
        <v>600</v>
      </c>
      <c r="F49" s="15" t="s">
        <v>865</v>
      </c>
      <c r="G49" s="15" t="s">
        <v>13</v>
      </c>
      <c r="H49" s="49" t="s">
        <v>80</v>
      </c>
      <c r="I49" s="49" t="s">
        <v>80</v>
      </c>
      <c r="J49" s="49" t="s">
        <v>80</v>
      </c>
      <c r="K49" s="49" t="s">
        <v>80</v>
      </c>
      <c r="L49" s="49" t="s">
        <v>80</v>
      </c>
      <c r="M49" s="49" t="s">
        <v>80</v>
      </c>
      <c r="N49" s="6" t="s">
        <v>58</v>
      </c>
      <c r="O49" s="6" t="s">
        <v>64</v>
      </c>
      <c r="P49" s="56"/>
      <c r="Q49" s="56"/>
      <c r="R49" s="6"/>
      <c r="S49" s="15" t="s">
        <v>601</v>
      </c>
      <c r="T49" s="15" t="s">
        <v>604</v>
      </c>
      <c r="U49" s="15" t="s">
        <v>331</v>
      </c>
      <c r="V49" s="72"/>
      <c r="W49" s="72"/>
      <c r="X49" s="28"/>
      <c r="Y49" s="95"/>
      <c r="Z49" s="89">
        <f>50*26*4/1000</f>
        <v>5.2</v>
      </c>
      <c r="AA49" s="89">
        <f>50*26*4/1000</f>
        <v>5.2</v>
      </c>
      <c r="AB49" s="96">
        <v>30</v>
      </c>
      <c r="AC49" s="96">
        <v>12</v>
      </c>
      <c r="AD49" s="90">
        <f t="shared" si="2"/>
        <v>1872</v>
      </c>
      <c r="AE49" s="90">
        <f t="shared" si="3"/>
        <v>1872</v>
      </c>
    </row>
    <row r="50" spans="1:31" s="29" customFormat="1" ht="99.75" customHeight="1">
      <c r="A50" s="10">
        <v>42</v>
      </c>
      <c r="B50" s="5" t="s">
        <v>19</v>
      </c>
      <c r="C50" s="5">
        <v>2</v>
      </c>
      <c r="D50" s="76" t="s">
        <v>394</v>
      </c>
      <c r="E50" s="5" t="s">
        <v>395</v>
      </c>
      <c r="F50" s="15" t="s">
        <v>396</v>
      </c>
      <c r="G50" s="15" t="s">
        <v>13</v>
      </c>
      <c r="H50" s="49" t="s">
        <v>80</v>
      </c>
      <c r="I50" s="49" t="s">
        <v>80</v>
      </c>
      <c r="J50" s="49" t="s">
        <v>80</v>
      </c>
      <c r="K50" s="49" t="s">
        <v>80</v>
      </c>
      <c r="L50" s="49" t="s">
        <v>80</v>
      </c>
      <c r="M50" s="49" t="s">
        <v>80</v>
      </c>
      <c r="N50" s="6" t="s">
        <v>58</v>
      </c>
      <c r="O50" s="6" t="s">
        <v>64</v>
      </c>
      <c r="P50" s="56">
        <v>118919.967</v>
      </c>
      <c r="Q50" s="56">
        <v>102361.115</v>
      </c>
      <c r="R50" s="6">
        <v>2561</v>
      </c>
      <c r="S50" s="15" t="s">
        <v>603</v>
      </c>
      <c r="T50" s="15" t="s">
        <v>602</v>
      </c>
      <c r="U50" s="15" t="s">
        <v>331</v>
      </c>
      <c r="V50" s="70"/>
      <c r="W50" s="70"/>
      <c r="X50" s="73"/>
      <c r="Y50" s="70"/>
      <c r="Z50" s="73">
        <f>50*4*4/1000</f>
        <v>0.8</v>
      </c>
      <c r="AA50" s="73">
        <f>50*4*4/1000</f>
        <v>0.8</v>
      </c>
      <c r="AB50" s="70">
        <v>30</v>
      </c>
      <c r="AC50" s="70">
        <v>12</v>
      </c>
      <c r="AD50" s="74">
        <f t="shared" si="2"/>
        <v>288</v>
      </c>
      <c r="AE50" s="74">
        <f t="shared" si="3"/>
        <v>288</v>
      </c>
    </row>
    <row r="51" spans="1:31" s="29" customFormat="1" ht="93.75" customHeight="1">
      <c r="A51" s="10">
        <v>43</v>
      </c>
      <c r="B51" s="5" t="s">
        <v>19</v>
      </c>
      <c r="C51" s="5">
        <v>2</v>
      </c>
      <c r="D51" s="83" t="s">
        <v>399</v>
      </c>
      <c r="E51" s="11" t="s">
        <v>397</v>
      </c>
      <c r="F51" s="47" t="s">
        <v>398</v>
      </c>
      <c r="G51" s="47" t="s">
        <v>13</v>
      </c>
      <c r="H51" s="49" t="s">
        <v>80</v>
      </c>
      <c r="I51" s="49" t="s">
        <v>80</v>
      </c>
      <c r="J51" s="49" t="s">
        <v>80</v>
      </c>
      <c r="K51" s="49" t="s">
        <v>80</v>
      </c>
      <c r="L51" s="49" t="s">
        <v>80</v>
      </c>
      <c r="M51" s="49" t="s">
        <v>80</v>
      </c>
      <c r="N51" s="6" t="s">
        <v>58</v>
      </c>
      <c r="O51" s="6" t="s">
        <v>64</v>
      </c>
      <c r="P51" s="56">
        <v>118980.687</v>
      </c>
      <c r="Q51" s="57">
        <v>101341.929</v>
      </c>
      <c r="R51" s="42">
        <v>2563</v>
      </c>
      <c r="S51" s="40" t="s">
        <v>606</v>
      </c>
      <c r="T51" s="40" t="s">
        <v>605</v>
      </c>
      <c r="U51" s="15" t="s">
        <v>331</v>
      </c>
      <c r="V51" s="42"/>
      <c r="W51" s="42"/>
      <c r="X51" s="73"/>
      <c r="Y51" s="70"/>
      <c r="Z51" s="73">
        <f>50*3*4/1000</f>
        <v>0.6</v>
      </c>
      <c r="AA51" s="73">
        <f>50*3*4/1000</f>
        <v>0.6</v>
      </c>
      <c r="AB51" s="70">
        <v>30</v>
      </c>
      <c r="AC51" s="70">
        <v>12</v>
      </c>
      <c r="AD51" s="74">
        <f t="shared" si="2"/>
        <v>216</v>
      </c>
      <c r="AE51" s="74">
        <f t="shared" si="3"/>
        <v>216</v>
      </c>
    </row>
    <row r="52" spans="1:31" s="29" customFormat="1" ht="105.75" customHeight="1">
      <c r="A52" s="10">
        <v>44</v>
      </c>
      <c r="B52" s="5" t="s">
        <v>19</v>
      </c>
      <c r="C52" s="5">
        <v>2</v>
      </c>
      <c r="D52" s="76" t="s">
        <v>400</v>
      </c>
      <c r="E52" s="5" t="s">
        <v>624</v>
      </c>
      <c r="F52" s="15" t="s">
        <v>661</v>
      </c>
      <c r="G52" s="15" t="s">
        <v>13</v>
      </c>
      <c r="H52" s="49" t="s">
        <v>80</v>
      </c>
      <c r="I52" s="49" t="s">
        <v>80</v>
      </c>
      <c r="J52" s="49" t="s">
        <v>80</v>
      </c>
      <c r="K52" s="49" t="s">
        <v>80</v>
      </c>
      <c r="L52" s="49" t="s">
        <v>80</v>
      </c>
      <c r="M52" s="49" t="s">
        <v>80</v>
      </c>
      <c r="N52" s="6" t="s">
        <v>58</v>
      </c>
      <c r="O52" s="6" t="s">
        <v>64</v>
      </c>
      <c r="P52" s="58"/>
      <c r="Q52" s="57"/>
      <c r="R52" s="41"/>
      <c r="S52" s="40"/>
      <c r="T52" s="40"/>
      <c r="U52" s="15" t="s">
        <v>803</v>
      </c>
      <c r="V52" s="6"/>
      <c r="W52" s="6"/>
      <c r="X52" s="73"/>
      <c r="Y52" s="70"/>
      <c r="Z52" s="73">
        <f>50*4*4/1000</f>
        <v>0.8</v>
      </c>
      <c r="AA52" s="73">
        <f>50*4*4/1000</f>
        <v>0.8</v>
      </c>
      <c r="AB52" s="70">
        <v>30</v>
      </c>
      <c r="AC52" s="70">
        <v>12</v>
      </c>
      <c r="AD52" s="74">
        <f t="shared" si="2"/>
        <v>288</v>
      </c>
      <c r="AE52" s="74">
        <f t="shared" si="3"/>
        <v>288</v>
      </c>
    </row>
    <row r="53" spans="1:31" s="29" customFormat="1" ht="108.75" customHeight="1">
      <c r="A53" s="71">
        <v>45</v>
      </c>
      <c r="B53" s="11" t="s">
        <v>19</v>
      </c>
      <c r="C53" s="11">
        <v>2</v>
      </c>
      <c r="D53" s="81" t="s">
        <v>401</v>
      </c>
      <c r="E53" s="65" t="s">
        <v>402</v>
      </c>
      <c r="F53" s="47" t="s">
        <v>403</v>
      </c>
      <c r="G53" s="47" t="s">
        <v>13</v>
      </c>
      <c r="H53" s="49" t="s">
        <v>80</v>
      </c>
      <c r="I53" s="49" t="s">
        <v>80</v>
      </c>
      <c r="J53" s="49" t="s">
        <v>80</v>
      </c>
      <c r="K53" s="49" t="s">
        <v>80</v>
      </c>
      <c r="L53" s="49" t="s">
        <v>80</v>
      </c>
      <c r="M53" s="49" t="s">
        <v>80</v>
      </c>
      <c r="N53" s="41" t="s">
        <v>58</v>
      </c>
      <c r="O53" s="6" t="s">
        <v>64</v>
      </c>
      <c r="P53" s="57"/>
      <c r="Q53" s="57"/>
      <c r="R53" s="41"/>
      <c r="S53" s="40"/>
      <c r="T53" s="40"/>
      <c r="U53" s="15" t="s">
        <v>83</v>
      </c>
      <c r="V53" s="70"/>
      <c r="W53" s="70"/>
      <c r="X53" s="73"/>
      <c r="Y53" s="70"/>
      <c r="Z53" s="73">
        <f>(50*8*4)/1000</f>
        <v>1.6</v>
      </c>
      <c r="AA53" s="73">
        <f>(50*8*4)/1000</f>
        <v>1.6</v>
      </c>
      <c r="AB53" s="70">
        <v>30</v>
      </c>
      <c r="AC53" s="70">
        <v>12</v>
      </c>
      <c r="AD53" s="74">
        <f t="shared" si="2"/>
        <v>576</v>
      </c>
      <c r="AE53" s="74">
        <f t="shared" si="3"/>
        <v>576</v>
      </c>
    </row>
    <row r="54" spans="1:31" s="29" customFormat="1" ht="125.25" customHeight="1">
      <c r="A54" s="10">
        <v>46</v>
      </c>
      <c r="B54" s="5" t="s">
        <v>19</v>
      </c>
      <c r="C54" s="5">
        <v>2</v>
      </c>
      <c r="D54" s="83" t="s">
        <v>405</v>
      </c>
      <c r="E54" s="11" t="s">
        <v>406</v>
      </c>
      <c r="F54" s="40" t="s">
        <v>407</v>
      </c>
      <c r="G54" s="15" t="s">
        <v>13</v>
      </c>
      <c r="H54" s="49" t="s">
        <v>80</v>
      </c>
      <c r="I54" s="49" t="s">
        <v>80</v>
      </c>
      <c r="J54" s="49" t="s">
        <v>80</v>
      </c>
      <c r="K54" s="49" t="s">
        <v>80</v>
      </c>
      <c r="L54" s="49" t="s">
        <v>80</v>
      </c>
      <c r="M54" s="49" t="s">
        <v>80</v>
      </c>
      <c r="N54" s="41" t="s">
        <v>58</v>
      </c>
      <c r="O54" s="6" t="s">
        <v>64</v>
      </c>
      <c r="P54" s="56"/>
      <c r="Q54" s="56"/>
      <c r="R54" s="6"/>
      <c r="S54" s="15"/>
      <c r="T54" s="15"/>
      <c r="U54" s="15" t="s">
        <v>83</v>
      </c>
      <c r="V54" s="70"/>
      <c r="W54" s="70"/>
      <c r="X54" s="70"/>
      <c r="Y54" s="70"/>
      <c r="Z54" s="73">
        <f>(50*12*4)/1000</f>
        <v>2.4</v>
      </c>
      <c r="AA54" s="73">
        <f>(50*12*4)/1000</f>
        <v>2.4</v>
      </c>
      <c r="AB54" s="70">
        <v>30</v>
      </c>
      <c r="AC54" s="70">
        <v>12</v>
      </c>
      <c r="AD54" s="74">
        <f t="shared" si="2"/>
        <v>864</v>
      </c>
      <c r="AE54" s="74">
        <f t="shared" si="3"/>
        <v>864</v>
      </c>
    </row>
    <row r="55" spans="1:31" s="31" customFormat="1" ht="54" customHeight="1">
      <c r="A55" s="10">
        <v>47</v>
      </c>
      <c r="B55" s="5" t="s">
        <v>19</v>
      </c>
      <c r="C55" s="5">
        <v>2</v>
      </c>
      <c r="D55" s="83" t="s">
        <v>650</v>
      </c>
      <c r="E55" s="11" t="s">
        <v>408</v>
      </c>
      <c r="F55" s="11" t="s">
        <v>409</v>
      </c>
      <c r="G55" s="65" t="s">
        <v>13</v>
      </c>
      <c r="H55" s="12" t="s">
        <v>80</v>
      </c>
      <c r="I55" s="12" t="s">
        <v>80</v>
      </c>
      <c r="J55" s="12" t="s">
        <v>80</v>
      </c>
      <c r="K55" s="12" t="s">
        <v>80</v>
      </c>
      <c r="L55" s="12" t="s">
        <v>80</v>
      </c>
      <c r="M55" s="12" t="s">
        <v>80</v>
      </c>
      <c r="N55" s="14" t="s">
        <v>58</v>
      </c>
      <c r="O55" s="14" t="s">
        <v>64</v>
      </c>
      <c r="P55" s="110"/>
      <c r="Q55" s="110"/>
      <c r="R55" s="14"/>
      <c r="S55" s="15" t="s">
        <v>838</v>
      </c>
      <c r="T55" s="15" t="s">
        <v>839</v>
      </c>
      <c r="U55" s="11" t="s">
        <v>842</v>
      </c>
      <c r="V55" s="97">
        <v>100</v>
      </c>
      <c r="W55" s="97">
        <v>78</v>
      </c>
      <c r="X55" s="97">
        <f>(0.91+1.16+1.16+0.94+1.23)/5</f>
        <v>1.08</v>
      </c>
      <c r="Y55" s="97">
        <v>12</v>
      </c>
      <c r="Z55" s="66">
        <f>X55*V55*Y55*0.0036</f>
        <v>4.6655999999999995</v>
      </c>
      <c r="AA55" s="66">
        <f>X55*W55*Y55*0.0036</f>
        <v>3.639168</v>
      </c>
      <c r="AB55" s="109">
        <v>30</v>
      </c>
      <c r="AC55" s="109">
        <v>12</v>
      </c>
      <c r="AD55" s="106">
        <f>Z55*AB55*AC55</f>
        <v>1679.616</v>
      </c>
      <c r="AE55" s="106">
        <f>AA55*AB55*AC55</f>
        <v>1310.10048</v>
      </c>
    </row>
    <row r="56" spans="1:31" s="29" customFormat="1" ht="54" customHeight="1">
      <c r="A56" s="10">
        <v>48</v>
      </c>
      <c r="B56" s="5" t="s">
        <v>19</v>
      </c>
      <c r="C56" s="5">
        <v>2</v>
      </c>
      <c r="D56" s="76" t="s">
        <v>410</v>
      </c>
      <c r="E56" s="5" t="s">
        <v>411</v>
      </c>
      <c r="F56" s="15" t="s">
        <v>883</v>
      </c>
      <c r="G56" s="15" t="s">
        <v>13</v>
      </c>
      <c r="H56" s="49" t="s">
        <v>80</v>
      </c>
      <c r="I56" s="49" t="s">
        <v>80</v>
      </c>
      <c r="J56" s="49" t="s">
        <v>80</v>
      </c>
      <c r="K56" s="49" t="s">
        <v>80</v>
      </c>
      <c r="L56" s="49" t="s">
        <v>80</v>
      </c>
      <c r="M56" s="49" t="s">
        <v>80</v>
      </c>
      <c r="N56" s="6" t="s">
        <v>58</v>
      </c>
      <c r="O56" s="6" t="s">
        <v>64</v>
      </c>
      <c r="P56" s="56">
        <v>118440.397</v>
      </c>
      <c r="Q56" s="56">
        <v>100760.262</v>
      </c>
      <c r="R56" s="6">
        <v>2573</v>
      </c>
      <c r="S56" s="15" t="s">
        <v>607</v>
      </c>
      <c r="T56" s="15" t="s">
        <v>608</v>
      </c>
      <c r="U56" s="15" t="s">
        <v>609</v>
      </c>
      <c r="V56" s="70">
        <v>33</v>
      </c>
      <c r="W56" s="70">
        <v>38</v>
      </c>
      <c r="X56" s="73">
        <f>((0+0+0+0+0.02+0.016+0.016+0.01+0.016+0+0+0+0.023+0.016+0.022+0+0+0+0.017+0.012+0+0+0.024+0.012+0.008+0+0+0.023+0.021+0+0.02+0.014+0.022)/33)</f>
        <v>0.009454545454545459</v>
      </c>
      <c r="Y56" s="70">
        <v>18</v>
      </c>
      <c r="Z56" s="73">
        <f>X56*V56*Y56*0.0036</f>
        <v>0.02021760000000001</v>
      </c>
      <c r="AA56" s="73">
        <f>X56*W56*Y56*0.0036</f>
        <v>0.023280872727272733</v>
      </c>
      <c r="AB56" s="70">
        <v>30</v>
      </c>
      <c r="AC56" s="70">
        <v>12</v>
      </c>
      <c r="AD56" s="74">
        <f t="shared" si="2"/>
        <v>7.278336000000003</v>
      </c>
      <c r="AE56" s="74">
        <f t="shared" si="3"/>
        <v>8.381114181818184</v>
      </c>
    </row>
    <row r="57" spans="1:31" s="29" customFormat="1" ht="91.5" customHeight="1">
      <c r="A57" s="14">
        <v>49</v>
      </c>
      <c r="B57" s="11" t="s">
        <v>19</v>
      </c>
      <c r="C57" s="11">
        <v>2</v>
      </c>
      <c r="D57" s="81" t="s">
        <v>412</v>
      </c>
      <c r="E57" s="65" t="s">
        <v>413</v>
      </c>
      <c r="F57" s="40" t="s">
        <v>20</v>
      </c>
      <c r="G57" s="47" t="s">
        <v>13</v>
      </c>
      <c r="H57" s="49" t="s">
        <v>80</v>
      </c>
      <c r="I57" s="49" t="s">
        <v>80</v>
      </c>
      <c r="J57" s="49" t="s">
        <v>80</v>
      </c>
      <c r="K57" s="49" t="s">
        <v>80</v>
      </c>
      <c r="L57" s="49" t="s">
        <v>80</v>
      </c>
      <c r="M57" s="49" t="s">
        <v>80</v>
      </c>
      <c r="N57" s="41" t="s">
        <v>58</v>
      </c>
      <c r="O57" s="41" t="s">
        <v>64</v>
      </c>
      <c r="P57" s="57">
        <v>119037.235</v>
      </c>
      <c r="Q57" s="57">
        <v>101391.556</v>
      </c>
      <c r="R57" s="41">
        <v>2564</v>
      </c>
      <c r="S57" s="40" t="s">
        <v>611</v>
      </c>
      <c r="T57" s="40" t="s">
        <v>610</v>
      </c>
      <c r="U57" s="40" t="s">
        <v>625</v>
      </c>
      <c r="V57" s="70"/>
      <c r="W57" s="70"/>
      <c r="X57" s="84"/>
      <c r="Y57" s="70"/>
      <c r="Z57" s="73">
        <f>50*4*4/1000</f>
        <v>0.8</v>
      </c>
      <c r="AA57" s="73">
        <f>50*4*4/1000</f>
        <v>0.8</v>
      </c>
      <c r="AB57" s="70">
        <v>30</v>
      </c>
      <c r="AC57" s="70">
        <v>12</v>
      </c>
      <c r="AD57" s="74">
        <f t="shared" si="2"/>
        <v>288</v>
      </c>
      <c r="AE57" s="74">
        <f t="shared" si="3"/>
        <v>288</v>
      </c>
    </row>
    <row r="58" spans="1:31" s="29" customFormat="1" ht="83.25" customHeight="1">
      <c r="A58" s="10">
        <v>50</v>
      </c>
      <c r="B58" s="5" t="s">
        <v>19</v>
      </c>
      <c r="C58" s="5">
        <v>2</v>
      </c>
      <c r="D58" s="76" t="s">
        <v>414</v>
      </c>
      <c r="E58" s="5" t="s">
        <v>415</v>
      </c>
      <c r="F58" s="40" t="s">
        <v>416</v>
      </c>
      <c r="G58" s="40" t="s">
        <v>904</v>
      </c>
      <c r="H58" s="46" t="s">
        <v>420</v>
      </c>
      <c r="I58" s="46" t="s">
        <v>417</v>
      </c>
      <c r="J58" s="46" t="s">
        <v>418</v>
      </c>
      <c r="K58" s="46" t="s">
        <v>419</v>
      </c>
      <c r="L58" s="49" t="s">
        <v>91</v>
      </c>
      <c r="M58" s="51">
        <v>44626</v>
      </c>
      <c r="N58" s="6" t="s">
        <v>58</v>
      </c>
      <c r="O58" s="6" t="s">
        <v>64</v>
      </c>
      <c r="P58" s="56">
        <v>122786.033</v>
      </c>
      <c r="Q58" s="56">
        <v>104444.483</v>
      </c>
      <c r="R58" s="6">
        <v>2559</v>
      </c>
      <c r="S58" s="15" t="s">
        <v>613</v>
      </c>
      <c r="T58" s="15" t="s">
        <v>612</v>
      </c>
      <c r="U58" s="5" t="s">
        <v>767</v>
      </c>
      <c r="V58" s="70">
        <v>31.2</v>
      </c>
      <c r="W58" s="70">
        <v>71.6</v>
      </c>
      <c r="X58" s="73">
        <f>((0.056+0.056+0.083+0.1+0.111+0.139+0.333+0.183+0.144+0.178+0.172+0.167+0.25+0.167+0.283+0.2+0.117)/17)</f>
        <v>0.16111764705882353</v>
      </c>
      <c r="Y58" s="70">
        <v>10</v>
      </c>
      <c r="Z58" s="73">
        <f aca="true" t="shared" si="4" ref="Z58:Z65">X58*V58*Y58*0.0036</f>
        <v>0.1809673411764706</v>
      </c>
      <c r="AA58" s="73">
        <f aca="true" t="shared" si="5" ref="AA58:AA65">X58*W58*Y58*0.0036</f>
        <v>0.4152968470588235</v>
      </c>
      <c r="AB58" s="70">
        <v>26</v>
      </c>
      <c r="AC58" s="70">
        <v>12</v>
      </c>
      <c r="AD58" s="74">
        <f t="shared" si="2"/>
        <v>56.461810447058824</v>
      </c>
      <c r="AE58" s="74">
        <f t="shared" si="3"/>
        <v>129.57261628235293</v>
      </c>
    </row>
    <row r="59" spans="1:31" s="31" customFormat="1" ht="65.25" customHeight="1">
      <c r="A59" s="10">
        <v>51</v>
      </c>
      <c r="B59" s="5" t="s">
        <v>19</v>
      </c>
      <c r="C59" s="5">
        <v>2</v>
      </c>
      <c r="D59" s="101" t="s">
        <v>658</v>
      </c>
      <c r="E59" s="10" t="s">
        <v>639</v>
      </c>
      <c r="F59" s="10" t="s">
        <v>657</v>
      </c>
      <c r="G59" s="10" t="s">
        <v>13</v>
      </c>
      <c r="H59" s="49" t="s">
        <v>80</v>
      </c>
      <c r="I59" s="49" t="s">
        <v>80</v>
      </c>
      <c r="J59" s="49" t="s">
        <v>80</v>
      </c>
      <c r="K59" s="49" t="s">
        <v>80</v>
      </c>
      <c r="L59" s="49" t="s">
        <v>80</v>
      </c>
      <c r="M59" s="49" t="s">
        <v>80</v>
      </c>
      <c r="N59" s="6" t="s">
        <v>58</v>
      </c>
      <c r="O59" s="97" t="s">
        <v>64</v>
      </c>
      <c r="P59" s="10"/>
      <c r="Q59" s="10"/>
      <c r="R59" s="97"/>
      <c r="S59" s="10" t="s">
        <v>640</v>
      </c>
      <c r="T59" s="10" t="s">
        <v>641</v>
      </c>
      <c r="U59" s="5" t="s">
        <v>769</v>
      </c>
      <c r="V59" s="97"/>
      <c r="W59" s="97"/>
      <c r="X59" s="66"/>
      <c r="Y59" s="97"/>
      <c r="Z59" s="66"/>
      <c r="AA59" s="66"/>
      <c r="AB59" s="97"/>
      <c r="AC59" s="97"/>
      <c r="AD59" s="67">
        <f>AVERAGE(AD60:AD61)</f>
        <v>167.6059776</v>
      </c>
      <c r="AE59" s="67">
        <f>AVERAGE(AE60:AE61)</f>
        <v>145.18310399999996</v>
      </c>
    </row>
    <row r="60" spans="1:31" s="31" customFormat="1" ht="42.75" customHeight="1">
      <c r="A60" s="10"/>
      <c r="B60" s="5"/>
      <c r="C60" s="5"/>
      <c r="D60" s="101"/>
      <c r="E60" s="10"/>
      <c r="F60" s="10"/>
      <c r="G60" s="10"/>
      <c r="H60" s="12"/>
      <c r="I60" s="12"/>
      <c r="J60" s="12"/>
      <c r="K60" s="12"/>
      <c r="L60" s="12"/>
      <c r="M60" s="103"/>
      <c r="N60" s="101"/>
      <c r="O60" s="97"/>
      <c r="P60" s="10"/>
      <c r="Q60" s="10"/>
      <c r="R60" s="97"/>
      <c r="S60" s="10"/>
      <c r="T60" s="10"/>
      <c r="U60" s="5" t="s">
        <v>770</v>
      </c>
      <c r="V60" s="97">
        <v>35.8</v>
      </c>
      <c r="W60" s="97">
        <v>32</v>
      </c>
      <c r="X60" s="66">
        <f>(3.2+1.31+0.59+0.027+0.071)/5</f>
        <v>1.0395999999999999</v>
      </c>
      <c r="Y60" s="97">
        <v>8</v>
      </c>
      <c r="Z60" s="66">
        <f>X60*V60*Y60*0.0036</f>
        <v>1.0718691839999999</v>
      </c>
      <c r="AA60" s="66">
        <f>X60*W60*Y60*0.0036</f>
        <v>0.9580953599999998</v>
      </c>
      <c r="AB60" s="97">
        <v>25</v>
      </c>
      <c r="AC60" s="97">
        <v>12</v>
      </c>
      <c r="AD60" s="67">
        <f aca="true" t="shared" si="6" ref="AD60:AD65">Z60*AB60*AC60</f>
        <v>321.56075519999996</v>
      </c>
      <c r="AE60" s="67">
        <f aca="true" t="shared" si="7" ref="AE60:AE65">AA60*AB60*AC60</f>
        <v>287.42860799999994</v>
      </c>
    </row>
    <row r="61" spans="1:31" s="31" customFormat="1" ht="38.25" customHeight="1">
      <c r="A61" s="10"/>
      <c r="B61" s="5"/>
      <c r="C61" s="5"/>
      <c r="D61" s="101"/>
      <c r="E61" s="10"/>
      <c r="F61" s="10"/>
      <c r="G61" s="10"/>
      <c r="H61" s="12"/>
      <c r="I61" s="12"/>
      <c r="J61" s="12"/>
      <c r="K61" s="12"/>
      <c r="L61" s="12"/>
      <c r="M61" s="103"/>
      <c r="N61" s="101"/>
      <c r="O61" s="97"/>
      <c r="P61" s="10"/>
      <c r="Q61" s="10"/>
      <c r="R61" s="97"/>
      <c r="S61" s="10"/>
      <c r="T61" s="10"/>
      <c r="U61" s="5" t="s">
        <v>768</v>
      </c>
      <c r="V61" s="97">
        <v>79</v>
      </c>
      <c r="W61" s="97">
        <v>17</v>
      </c>
      <c r="X61" s="66">
        <v>0.02</v>
      </c>
      <c r="Y61" s="97">
        <v>8</v>
      </c>
      <c r="Z61" s="66">
        <f>X61*V61*Y61*0.0036</f>
        <v>0.045504</v>
      </c>
      <c r="AA61" s="66">
        <f>X61*W61*Y61*0.0036</f>
        <v>0.009792</v>
      </c>
      <c r="AB61" s="97">
        <v>25</v>
      </c>
      <c r="AC61" s="97">
        <v>12</v>
      </c>
      <c r="AD61" s="67">
        <f t="shared" si="6"/>
        <v>13.651200000000003</v>
      </c>
      <c r="AE61" s="67">
        <f t="shared" si="7"/>
        <v>2.9376</v>
      </c>
    </row>
    <row r="62" spans="1:31" s="31" customFormat="1" ht="58.5" customHeight="1">
      <c r="A62" s="10">
        <v>52</v>
      </c>
      <c r="B62" s="5" t="s">
        <v>19</v>
      </c>
      <c r="C62" s="5">
        <v>2</v>
      </c>
      <c r="D62" s="101" t="s">
        <v>642</v>
      </c>
      <c r="E62" s="10" t="s">
        <v>643</v>
      </c>
      <c r="F62" s="10" t="s">
        <v>659</v>
      </c>
      <c r="G62" s="10" t="s">
        <v>13</v>
      </c>
      <c r="H62" s="49" t="s">
        <v>80</v>
      </c>
      <c r="I62" s="49" t="s">
        <v>80</v>
      </c>
      <c r="J62" s="49" t="s">
        <v>80</v>
      </c>
      <c r="K62" s="49" t="s">
        <v>80</v>
      </c>
      <c r="L62" s="49" t="s">
        <v>80</v>
      </c>
      <c r="M62" s="49" t="s">
        <v>80</v>
      </c>
      <c r="N62" s="6" t="s">
        <v>58</v>
      </c>
      <c r="O62" s="97" t="s">
        <v>64</v>
      </c>
      <c r="P62" s="10"/>
      <c r="Q62" s="10"/>
      <c r="R62" s="97"/>
      <c r="S62" s="10" t="s">
        <v>644</v>
      </c>
      <c r="T62" s="10" t="s">
        <v>645</v>
      </c>
      <c r="U62" s="5" t="s">
        <v>771</v>
      </c>
      <c r="V62" s="97">
        <v>62.6</v>
      </c>
      <c r="W62" s="97">
        <v>52.86</v>
      </c>
      <c r="X62" s="66">
        <f>(0.133+0.04+0.05+0.05+0.05)/5</f>
        <v>0.0646</v>
      </c>
      <c r="Y62" s="97">
        <v>18</v>
      </c>
      <c r="Z62" s="66">
        <f t="shared" si="4"/>
        <v>0.262048608</v>
      </c>
      <c r="AA62" s="66">
        <f t="shared" si="5"/>
        <v>0.2212761888</v>
      </c>
      <c r="AB62" s="97">
        <v>30</v>
      </c>
      <c r="AC62" s="97">
        <v>12</v>
      </c>
      <c r="AD62" s="67">
        <f t="shared" si="6"/>
        <v>94.33749888</v>
      </c>
      <c r="AE62" s="67">
        <f t="shared" si="7"/>
        <v>79.65942796799999</v>
      </c>
    </row>
    <row r="63" spans="1:31" s="31" customFormat="1" ht="82.5" customHeight="1">
      <c r="A63" s="10">
        <v>53</v>
      </c>
      <c r="B63" s="5" t="s">
        <v>19</v>
      </c>
      <c r="C63" s="5">
        <v>2</v>
      </c>
      <c r="D63" s="101" t="s">
        <v>646</v>
      </c>
      <c r="E63" s="10" t="s">
        <v>647</v>
      </c>
      <c r="F63" s="10" t="s">
        <v>660</v>
      </c>
      <c r="G63" s="10" t="s">
        <v>13</v>
      </c>
      <c r="H63" s="12"/>
      <c r="I63" s="12"/>
      <c r="J63" s="12"/>
      <c r="K63" s="12"/>
      <c r="L63" s="12"/>
      <c r="M63" s="103"/>
      <c r="N63" s="6" t="s">
        <v>58</v>
      </c>
      <c r="O63" s="97" t="s">
        <v>64</v>
      </c>
      <c r="P63" s="10"/>
      <c r="Q63" s="10"/>
      <c r="R63" s="97"/>
      <c r="S63" s="10" t="s">
        <v>648</v>
      </c>
      <c r="T63" s="10" t="s">
        <v>649</v>
      </c>
      <c r="U63" s="5" t="s">
        <v>837</v>
      </c>
      <c r="V63" s="97">
        <v>9.2</v>
      </c>
      <c r="W63" s="97">
        <v>6</v>
      </c>
      <c r="X63" s="66">
        <f>(0.25+0.16+0.16+0.12+0.12)/5</f>
        <v>0.162</v>
      </c>
      <c r="Y63" s="97">
        <v>18</v>
      </c>
      <c r="Z63" s="66">
        <f t="shared" si="4"/>
        <v>0.09657791999999998</v>
      </c>
      <c r="AA63" s="66">
        <f t="shared" si="5"/>
        <v>0.06298559999999999</v>
      </c>
      <c r="AB63" s="97">
        <v>30</v>
      </c>
      <c r="AC63" s="97">
        <v>12</v>
      </c>
      <c r="AD63" s="67">
        <f t="shared" si="6"/>
        <v>34.76805119999999</v>
      </c>
      <c r="AE63" s="67">
        <f t="shared" si="7"/>
        <v>22.674815999999996</v>
      </c>
    </row>
    <row r="64" spans="1:31" s="31" customFormat="1" ht="150" customHeight="1">
      <c r="A64" s="10">
        <v>54</v>
      </c>
      <c r="B64" s="5" t="s">
        <v>19</v>
      </c>
      <c r="C64" s="5">
        <v>2</v>
      </c>
      <c r="D64" s="101" t="s">
        <v>651</v>
      </c>
      <c r="E64" s="10" t="s">
        <v>652</v>
      </c>
      <c r="F64" s="10" t="s">
        <v>20</v>
      </c>
      <c r="G64" s="10" t="s">
        <v>13</v>
      </c>
      <c r="H64" s="12"/>
      <c r="I64" s="12"/>
      <c r="J64" s="12"/>
      <c r="K64" s="12"/>
      <c r="L64" s="12"/>
      <c r="M64" s="103"/>
      <c r="N64" s="101" t="s">
        <v>58</v>
      </c>
      <c r="O64" s="97" t="s">
        <v>64</v>
      </c>
      <c r="P64" s="10"/>
      <c r="Q64" s="10"/>
      <c r="R64" s="97"/>
      <c r="S64" s="10" t="s">
        <v>843</v>
      </c>
      <c r="T64" s="10" t="s">
        <v>844</v>
      </c>
      <c r="U64" s="5" t="s">
        <v>845</v>
      </c>
      <c r="V64" s="97">
        <v>50.4</v>
      </c>
      <c r="W64" s="97">
        <v>48</v>
      </c>
      <c r="X64" s="66">
        <v>0.37</v>
      </c>
      <c r="Y64" s="97">
        <v>18</v>
      </c>
      <c r="Z64" s="66">
        <f t="shared" si="4"/>
        <v>1.2083903999999999</v>
      </c>
      <c r="AA64" s="66">
        <f t="shared" si="5"/>
        <v>1.1508479999999999</v>
      </c>
      <c r="AB64" s="97">
        <v>30</v>
      </c>
      <c r="AC64" s="97">
        <v>12</v>
      </c>
      <c r="AD64" s="67">
        <f t="shared" si="6"/>
        <v>435.020544</v>
      </c>
      <c r="AE64" s="67">
        <f t="shared" si="7"/>
        <v>414.3052799999999</v>
      </c>
    </row>
    <row r="65" spans="1:31" s="31" customFormat="1" ht="177.75" customHeight="1">
      <c r="A65" s="71">
        <v>55</v>
      </c>
      <c r="B65" s="11" t="s">
        <v>19</v>
      </c>
      <c r="C65" s="11">
        <v>2</v>
      </c>
      <c r="D65" s="65" t="s">
        <v>653</v>
      </c>
      <c r="E65" s="71" t="s">
        <v>656</v>
      </c>
      <c r="F65" s="14" t="s">
        <v>20</v>
      </c>
      <c r="G65" s="71" t="s">
        <v>13</v>
      </c>
      <c r="H65" s="108"/>
      <c r="I65" s="108"/>
      <c r="J65" s="108"/>
      <c r="K65" s="108"/>
      <c r="L65" s="108"/>
      <c r="M65" s="108"/>
      <c r="N65" s="6" t="s">
        <v>58</v>
      </c>
      <c r="O65" s="71" t="s">
        <v>64</v>
      </c>
      <c r="P65" s="14"/>
      <c r="Q65" s="14"/>
      <c r="R65" s="71"/>
      <c r="S65" s="14" t="s">
        <v>654</v>
      </c>
      <c r="T65" s="14" t="s">
        <v>655</v>
      </c>
      <c r="U65" s="11" t="s">
        <v>852</v>
      </c>
      <c r="V65" s="71">
        <v>77</v>
      </c>
      <c r="W65" s="71">
        <v>132</v>
      </c>
      <c r="X65" s="114">
        <f>(0.18+0.001+0.004+0.01+0.01)/5</f>
        <v>0.041</v>
      </c>
      <c r="Y65" s="71">
        <v>18</v>
      </c>
      <c r="Z65" s="114">
        <f t="shared" si="4"/>
        <v>0.2045736</v>
      </c>
      <c r="AA65" s="114">
        <f t="shared" si="5"/>
        <v>0.3506976</v>
      </c>
      <c r="AB65" s="71">
        <v>30</v>
      </c>
      <c r="AC65" s="71">
        <v>12</v>
      </c>
      <c r="AD65" s="115">
        <f t="shared" si="6"/>
        <v>73.646496</v>
      </c>
      <c r="AE65" s="115">
        <f t="shared" si="7"/>
        <v>126.251136</v>
      </c>
    </row>
    <row r="66" spans="1:31" s="29" customFormat="1" ht="12.75">
      <c r="A66" s="35"/>
      <c r="B66" s="36"/>
      <c r="C66" s="36"/>
      <c r="D66" s="37"/>
      <c r="E66" s="35"/>
      <c r="F66" s="44"/>
      <c r="G66" s="44"/>
      <c r="H66" s="44"/>
      <c r="I66" s="52"/>
      <c r="J66" s="52"/>
      <c r="K66" s="52"/>
      <c r="L66" s="44"/>
      <c r="M66" s="53"/>
      <c r="N66" s="25"/>
      <c r="O66" s="25"/>
      <c r="P66" s="59"/>
      <c r="Q66" s="59"/>
      <c r="R66" s="25"/>
      <c r="S66" s="59"/>
      <c r="T66" s="59"/>
      <c r="U66" s="38"/>
      <c r="V66" s="32"/>
      <c r="W66" s="32"/>
      <c r="X66" s="32"/>
      <c r="Y66" s="32"/>
      <c r="Z66" s="33"/>
      <c r="AA66" s="33"/>
      <c r="AB66" s="32"/>
      <c r="AC66" s="32"/>
      <c r="AD66" s="34"/>
      <c r="AE66" s="34"/>
    </row>
    <row r="67" spans="1:31" s="29" customFormat="1" ht="19.5" customHeight="1">
      <c r="A67" s="137">
        <v>1</v>
      </c>
      <c r="B67" s="137" t="s">
        <v>335</v>
      </c>
      <c r="C67" s="137">
        <v>3</v>
      </c>
      <c r="D67" s="159" t="s">
        <v>336</v>
      </c>
      <c r="E67" s="135" t="s">
        <v>614</v>
      </c>
      <c r="F67" s="137" t="s">
        <v>337</v>
      </c>
      <c r="G67" s="137" t="s">
        <v>904</v>
      </c>
      <c r="H67" s="137">
        <v>737</v>
      </c>
      <c r="I67" s="175">
        <v>42344</v>
      </c>
      <c r="J67" s="175">
        <v>42344</v>
      </c>
      <c r="K67" s="175">
        <v>42376</v>
      </c>
      <c r="L67" s="137" t="s">
        <v>91</v>
      </c>
      <c r="M67" s="179">
        <v>43836</v>
      </c>
      <c r="N67" s="6" t="s">
        <v>58</v>
      </c>
      <c r="O67" s="6" t="s">
        <v>338</v>
      </c>
      <c r="P67" s="16">
        <v>96163.526</v>
      </c>
      <c r="Q67" s="16">
        <v>91385.48</v>
      </c>
      <c r="R67" s="10">
        <v>2686</v>
      </c>
      <c r="S67" s="17" t="s">
        <v>556</v>
      </c>
      <c r="T67" s="17" t="s">
        <v>557</v>
      </c>
      <c r="U67" s="180" t="s">
        <v>778</v>
      </c>
      <c r="V67" s="97">
        <v>2</v>
      </c>
      <c r="W67" s="97">
        <v>26</v>
      </c>
      <c r="X67" s="111">
        <v>2.738</v>
      </c>
      <c r="Y67" s="97">
        <v>3</v>
      </c>
      <c r="Z67" s="66">
        <f aca="true" t="shared" si="8" ref="Z67:Z74">X67*V67*Y67*0.0036</f>
        <v>0.0591408</v>
      </c>
      <c r="AA67" s="66">
        <f aca="true" t="shared" si="9" ref="AA67:AA74">X67*W67*Y67*0.0036</f>
        <v>0.7688304</v>
      </c>
      <c r="AB67" s="97">
        <v>15</v>
      </c>
      <c r="AC67" s="97">
        <v>12</v>
      </c>
      <c r="AD67" s="67">
        <f>Z67*AB67*AC67</f>
        <v>10.645344</v>
      </c>
      <c r="AE67" s="67">
        <f>AA67*AB67*AC67</f>
        <v>138.389472</v>
      </c>
    </row>
    <row r="68" spans="1:31" s="29" customFormat="1" ht="17.25" customHeight="1">
      <c r="A68" s="153"/>
      <c r="B68" s="153"/>
      <c r="C68" s="153"/>
      <c r="D68" s="159"/>
      <c r="E68" s="153"/>
      <c r="F68" s="153"/>
      <c r="G68" s="153"/>
      <c r="H68" s="153"/>
      <c r="I68" s="176"/>
      <c r="J68" s="176"/>
      <c r="K68" s="176"/>
      <c r="L68" s="153"/>
      <c r="M68" s="179"/>
      <c r="N68" s="6" t="s">
        <v>58</v>
      </c>
      <c r="O68" s="6" t="s">
        <v>339</v>
      </c>
      <c r="P68" s="16">
        <v>95908.818</v>
      </c>
      <c r="Q68" s="16">
        <v>91498.659</v>
      </c>
      <c r="R68" s="10">
        <v>2671</v>
      </c>
      <c r="S68" s="17" t="s">
        <v>559</v>
      </c>
      <c r="T68" s="17" t="s">
        <v>558</v>
      </c>
      <c r="U68" s="181"/>
      <c r="V68" s="10">
        <v>3.6</v>
      </c>
      <c r="W68" s="10">
        <v>772</v>
      </c>
      <c r="X68" s="61">
        <v>2.537</v>
      </c>
      <c r="Y68" s="10">
        <v>3</v>
      </c>
      <c r="Z68" s="66">
        <f t="shared" si="8"/>
        <v>0.09863856</v>
      </c>
      <c r="AA68" s="66">
        <f t="shared" si="9"/>
        <v>21.152491199999996</v>
      </c>
      <c r="AB68" s="112">
        <v>15</v>
      </c>
      <c r="AC68" s="112">
        <v>12</v>
      </c>
      <c r="AD68" s="67">
        <f>Z68*AB68*AC68</f>
        <v>17.7549408</v>
      </c>
      <c r="AE68" s="67">
        <f>AA68*AB68*AC68</f>
        <v>3807.4484159999993</v>
      </c>
    </row>
    <row r="69" spans="1:31" s="29" customFormat="1" ht="17.25" customHeight="1">
      <c r="A69" s="153"/>
      <c r="B69" s="153"/>
      <c r="C69" s="153"/>
      <c r="D69" s="159"/>
      <c r="E69" s="153"/>
      <c r="F69" s="153"/>
      <c r="G69" s="153"/>
      <c r="H69" s="153"/>
      <c r="I69" s="176"/>
      <c r="J69" s="176"/>
      <c r="K69" s="176"/>
      <c r="L69" s="153"/>
      <c r="M69" s="179"/>
      <c r="N69" s="6" t="s">
        <v>58</v>
      </c>
      <c r="O69" s="6" t="s">
        <v>340</v>
      </c>
      <c r="P69" s="16">
        <v>96163.526</v>
      </c>
      <c r="Q69" s="16">
        <v>91385.48</v>
      </c>
      <c r="R69" s="10">
        <v>2665</v>
      </c>
      <c r="S69" s="17" t="s">
        <v>561</v>
      </c>
      <c r="T69" s="17" t="s">
        <v>560</v>
      </c>
      <c r="U69" s="181"/>
      <c r="V69" s="6">
        <v>87.3</v>
      </c>
      <c r="W69" s="10">
        <v>84</v>
      </c>
      <c r="X69" s="86">
        <f>((1.114+1.013+1.014+0.232+0.03+0.437+1.109)/7)</f>
        <v>0.707</v>
      </c>
      <c r="Y69" s="6">
        <v>3</v>
      </c>
      <c r="Z69" s="66">
        <f t="shared" si="8"/>
        <v>0.6665878799999999</v>
      </c>
      <c r="AA69" s="66">
        <f t="shared" si="9"/>
        <v>0.6413903999999999</v>
      </c>
      <c r="AB69" s="70">
        <v>15</v>
      </c>
      <c r="AC69" s="70">
        <v>12</v>
      </c>
      <c r="AD69" s="74">
        <f aca="true" t="shared" si="10" ref="AD69:AD78">Z69*AB69*AC69</f>
        <v>119.98581839999999</v>
      </c>
      <c r="AE69" s="74">
        <f aca="true" t="shared" si="11" ref="AE69:AE78">AA69*AB69*AC69</f>
        <v>115.45027199999998</v>
      </c>
    </row>
    <row r="70" spans="1:31" s="29" customFormat="1" ht="17.25" customHeight="1">
      <c r="A70" s="153"/>
      <c r="B70" s="153"/>
      <c r="C70" s="153"/>
      <c r="D70" s="159"/>
      <c r="E70" s="153"/>
      <c r="F70" s="153"/>
      <c r="G70" s="153"/>
      <c r="H70" s="153"/>
      <c r="I70" s="176"/>
      <c r="J70" s="176"/>
      <c r="K70" s="176"/>
      <c r="L70" s="153"/>
      <c r="M70" s="179"/>
      <c r="N70" s="6" t="s">
        <v>58</v>
      </c>
      <c r="O70" s="6" t="s">
        <v>341</v>
      </c>
      <c r="P70" s="16">
        <v>96205.769</v>
      </c>
      <c r="Q70" s="16">
        <v>92323.765</v>
      </c>
      <c r="R70" s="10">
        <v>2670</v>
      </c>
      <c r="S70" s="17" t="s">
        <v>563</v>
      </c>
      <c r="T70" s="17" t="s">
        <v>562</v>
      </c>
      <c r="U70" s="181"/>
      <c r="V70" s="6">
        <v>1.94</v>
      </c>
      <c r="W70" s="10">
        <v>461.5</v>
      </c>
      <c r="X70" s="86">
        <f>((0.025+0.023+0.025+0.025+0.025+0.025+0.025)/7)</f>
        <v>0.024714285714285713</v>
      </c>
      <c r="Y70" s="6">
        <v>3</v>
      </c>
      <c r="Z70" s="66">
        <f t="shared" si="8"/>
        <v>0.0005178137142857141</v>
      </c>
      <c r="AA70" s="66">
        <f t="shared" si="9"/>
        <v>0.12318094285714284</v>
      </c>
      <c r="AB70" s="70">
        <v>15</v>
      </c>
      <c r="AC70" s="70">
        <v>12</v>
      </c>
      <c r="AD70" s="74">
        <f t="shared" si="10"/>
        <v>0.09320646857142853</v>
      </c>
      <c r="AE70" s="74">
        <f t="shared" si="11"/>
        <v>22.17256971428571</v>
      </c>
    </row>
    <row r="71" spans="1:31" s="29" customFormat="1" ht="21" customHeight="1">
      <c r="A71" s="153"/>
      <c r="B71" s="153"/>
      <c r="C71" s="153"/>
      <c r="D71" s="159"/>
      <c r="E71" s="153"/>
      <c r="F71" s="153"/>
      <c r="G71" s="153"/>
      <c r="H71" s="153"/>
      <c r="I71" s="176"/>
      <c r="J71" s="176"/>
      <c r="K71" s="176"/>
      <c r="L71" s="153"/>
      <c r="M71" s="179"/>
      <c r="N71" s="6" t="s">
        <v>58</v>
      </c>
      <c r="O71" s="6" t="s">
        <v>342</v>
      </c>
      <c r="P71" s="16">
        <v>96271.069</v>
      </c>
      <c r="Q71" s="16">
        <v>92112.494</v>
      </c>
      <c r="R71" s="10">
        <v>2663</v>
      </c>
      <c r="S71" s="17" t="s">
        <v>565</v>
      </c>
      <c r="T71" s="17" t="s">
        <v>564</v>
      </c>
      <c r="U71" s="181"/>
      <c r="V71" s="6">
        <v>9.48</v>
      </c>
      <c r="W71" s="10">
        <v>106.7</v>
      </c>
      <c r="X71" s="86">
        <f>((0.1675+0.1684+0.155+0.1666+0.109+0.1755+0.0603)/7)</f>
        <v>0.14318571428571428</v>
      </c>
      <c r="Y71" s="6">
        <v>3</v>
      </c>
      <c r="Z71" s="66">
        <f t="shared" si="8"/>
        <v>0.014659926171428573</v>
      </c>
      <c r="AA71" s="66">
        <f t="shared" si="9"/>
        <v>0.16500148971428572</v>
      </c>
      <c r="AB71" s="70">
        <v>15</v>
      </c>
      <c r="AC71" s="70">
        <v>12</v>
      </c>
      <c r="AD71" s="74">
        <f t="shared" si="10"/>
        <v>2.638786710857143</v>
      </c>
      <c r="AE71" s="74">
        <f t="shared" si="11"/>
        <v>29.70026814857143</v>
      </c>
    </row>
    <row r="72" spans="1:31" s="29" customFormat="1" ht="12.75">
      <c r="A72" s="153"/>
      <c r="B72" s="153"/>
      <c r="C72" s="153"/>
      <c r="D72" s="159"/>
      <c r="E72" s="153"/>
      <c r="F72" s="153"/>
      <c r="G72" s="153"/>
      <c r="H72" s="153"/>
      <c r="I72" s="176"/>
      <c r="J72" s="176"/>
      <c r="K72" s="176"/>
      <c r="L72" s="153"/>
      <c r="M72" s="179"/>
      <c r="N72" s="6" t="s">
        <v>58</v>
      </c>
      <c r="O72" s="6" t="s">
        <v>343</v>
      </c>
      <c r="P72" s="16">
        <v>96191.272</v>
      </c>
      <c r="Q72" s="16">
        <v>92143.132</v>
      </c>
      <c r="R72" s="10">
        <v>2729</v>
      </c>
      <c r="S72" s="17" t="s">
        <v>567</v>
      </c>
      <c r="T72" s="17" t="s">
        <v>566</v>
      </c>
      <c r="U72" s="181"/>
      <c r="V72" s="6">
        <v>1.94</v>
      </c>
      <c r="W72" s="10">
        <v>28</v>
      </c>
      <c r="X72" s="86">
        <f>((0.029+0.024+0.024+0.03+0.044+0.071+0.121)/7)</f>
        <v>0.049</v>
      </c>
      <c r="Y72" s="6">
        <v>3</v>
      </c>
      <c r="Z72" s="66">
        <f t="shared" si="8"/>
        <v>0.001026648</v>
      </c>
      <c r="AA72" s="66">
        <f t="shared" si="9"/>
        <v>0.014817600000000002</v>
      </c>
      <c r="AB72" s="70">
        <v>15</v>
      </c>
      <c r="AC72" s="70">
        <v>12</v>
      </c>
      <c r="AD72" s="74">
        <f t="shared" si="10"/>
        <v>0.18479664</v>
      </c>
      <c r="AE72" s="74">
        <f t="shared" si="11"/>
        <v>2.667168</v>
      </c>
    </row>
    <row r="73" spans="1:31" s="29" customFormat="1" ht="40.5" customHeight="1">
      <c r="A73" s="138"/>
      <c r="B73" s="138"/>
      <c r="C73" s="138"/>
      <c r="D73" s="159"/>
      <c r="E73" s="138"/>
      <c r="F73" s="138"/>
      <c r="G73" s="138"/>
      <c r="H73" s="138"/>
      <c r="I73" s="177"/>
      <c r="J73" s="177"/>
      <c r="K73" s="177"/>
      <c r="L73" s="138"/>
      <c r="M73" s="179"/>
      <c r="N73" s="6" t="s">
        <v>58</v>
      </c>
      <c r="O73" s="6" t="s">
        <v>344</v>
      </c>
      <c r="P73" s="18">
        <v>96515.562</v>
      </c>
      <c r="Q73" s="18">
        <v>92304.04</v>
      </c>
      <c r="R73" s="14">
        <v>2717</v>
      </c>
      <c r="S73" s="19" t="s">
        <v>569</v>
      </c>
      <c r="T73" s="19" t="s">
        <v>568</v>
      </c>
      <c r="U73" s="182"/>
      <c r="V73" s="6">
        <v>1.94</v>
      </c>
      <c r="W73" s="10">
        <v>65</v>
      </c>
      <c r="X73" s="86">
        <f>((0.231+0.179+0.207+0.21+0.17+0.272+0.459)/7)</f>
        <v>0.24685714285714289</v>
      </c>
      <c r="Y73" s="6">
        <v>3</v>
      </c>
      <c r="Z73" s="66">
        <f t="shared" si="8"/>
        <v>0.005172150857142857</v>
      </c>
      <c r="AA73" s="66">
        <f t="shared" si="9"/>
        <v>0.1732937142857143</v>
      </c>
      <c r="AB73" s="70">
        <v>15</v>
      </c>
      <c r="AC73" s="70">
        <v>12</v>
      </c>
      <c r="AD73" s="74">
        <f t="shared" si="10"/>
        <v>0.9309871542857142</v>
      </c>
      <c r="AE73" s="74">
        <f t="shared" si="11"/>
        <v>31.192868571428576</v>
      </c>
    </row>
    <row r="74" spans="1:31" s="29" customFormat="1" ht="57" customHeight="1">
      <c r="A74" s="137">
        <v>2</v>
      </c>
      <c r="B74" s="137" t="s">
        <v>335</v>
      </c>
      <c r="C74" s="137">
        <v>3</v>
      </c>
      <c r="D74" s="163" t="s">
        <v>345</v>
      </c>
      <c r="E74" s="135" t="s">
        <v>615</v>
      </c>
      <c r="F74" s="135" t="s">
        <v>866</v>
      </c>
      <c r="G74" s="144" t="s">
        <v>904</v>
      </c>
      <c r="H74" s="144" t="s">
        <v>951</v>
      </c>
      <c r="I74" s="187">
        <v>42472</v>
      </c>
      <c r="J74" s="158" t="s">
        <v>12</v>
      </c>
      <c r="K74" s="158" t="s">
        <v>12</v>
      </c>
      <c r="L74" s="158" t="s">
        <v>91</v>
      </c>
      <c r="M74" s="158">
        <v>2021</v>
      </c>
      <c r="N74" s="6" t="s">
        <v>58</v>
      </c>
      <c r="O74" s="6" t="s">
        <v>346</v>
      </c>
      <c r="P74" s="10">
        <v>91016.13</v>
      </c>
      <c r="Q74" s="10">
        <v>96583.88</v>
      </c>
      <c r="R74" s="10">
        <v>2738</v>
      </c>
      <c r="S74" s="10" t="s">
        <v>571</v>
      </c>
      <c r="T74" s="10" t="s">
        <v>570</v>
      </c>
      <c r="U74" s="188" t="s">
        <v>777</v>
      </c>
      <c r="V74" s="10">
        <v>4.5</v>
      </c>
      <c r="W74" s="10">
        <v>690</v>
      </c>
      <c r="X74" s="61">
        <v>0.402</v>
      </c>
      <c r="Y74" s="10">
        <v>3</v>
      </c>
      <c r="Z74" s="66">
        <f t="shared" si="8"/>
        <v>0.0195372</v>
      </c>
      <c r="AA74" s="66">
        <f t="shared" si="9"/>
        <v>2.995704</v>
      </c>
      <c r="AB74" s="97">
        <v>15</v>
      </c>
      <c r="AC74" s="97">
        <v>12</v>
      </c>
      <c r="AD74" s="67">
        <f>Z74*AB74*AC74</f>
        <v>3.5166960000000005</v>
      </c>
      <c r="AE74" s="67">
        <f>AA74*AB74*AC74</f>
        <v>539.2267199999999</v>
      </c>
    </row>
    <row r="75" spans="1:31" s="29" customFormat="1" ht="36" customHeight="1">
      <c r="A75" s="153"/>
      <c r="B75" s="153"/>
      <c r="C75" s="153"/>
      <c r="D75" s="183"/>
      <c r="E75" s="153"/>
      <c r="F75" s="155"/>
      <c r="G75" s="144"/>
      <c r="H75" s="144"/>
      <c r="I75" s="144"/>
      <c r="J75" s="158"/>
      <c r="K75" s="158"/>
      <c r="L75" s="158"/>
      <c r="M75" s="158"/>
      <c r="N75" s="6" t="s">
        <v>58</v>
      </c>
      <c r="O75" s="6" t="s">
        <v>339</v>
      </c>
      <c r="P75" s="10">
        <v>91130.44</v>
      </c>
      <c r="Q75" s="10">
        <v>96416.73</v>
      </c>
      <c r="R75" s="10">
        <v>2717</v>
      </c>
      <c r="S75" s="10" t="s">
        <v>572</v>
      </c>
      <c r="T75" s="10" t="s">
        <v>575</v>
      </c>
      <c r="U75" s="189"/>
      <c r="V75" s="10">
        <v>46.2</v>
      </c>
      <c r="W75" s="10">
        <v>151.3</v>
      </c>
      <c r="X75" s="61">
        <f>((0.337+0.132+0.098+0.074+0.145+0.15+0.081)/7)</f>
        <v>0.1452857142857143</v>
      </c>
      <c r="Y75" s="10">
        <v>3</v>
      </c>
      <c r="Z75" s="66">
        <f aca="true" t="shared" si="12" ref="Z75:Z82">X75*V75*Y75*0.0036</f>
        <v>0.07249176</v>
      </c>
      <c r="AA75" s="66">
        <f aca="true" t="shared" si="13" ref="AA75:AA80">X75*W75*Y75*0.0036</f>
        <v>0.2374026685714286</v>
      </c>
      <c r="AB75" s="97">
        <v>15</v>
      </c>
      <c r="AC75" s="97">
        <v>12</v>
      </c>
      <c r="AD75" s="67">
        <f t="shared" si="10"/>
        <v>13.048516800000002</v>
      </c>
      <c r="AE75" s="67">
        <f t="shared" si="11"/>
        <v>42.732480342857144</v>
      </c>
    </row>
    <row r="76" spans="1:31" s="29" customFormat="1" ht="33.75" customHeight="1">
      <c r="A76" s="153"/>
      <c r="B76" s="153"/>
      <c r="C76" s="153"/>
      <c r="D76" s="183"/>
      <c r="E76" s="153"/>
      <c r="F76" s="155"/>
      <c r="G76" s="144"/>
      <c r="H76" s="144"/>
      <c r="I76" s="144"/>
      <c r="J76" s="158"/>
      <c r="K76" s="158"/>
      <c r="L76" s="158"/>
      <c r="M76" s="158"/>
      <c r="N76" s="6" t="s">
        <v>58</v>
      </c>
      <c r="O76" s="6" t="s">
        <v>347</v>
      </c>
      <c r="P76" s="10">
        <v>91193.43</v>
      </c>
      <c r="Q76" s="10">
        <v>96360.29</v>
      </c>
      <c r="R76" s="10">
        <v>2706</v>
      </c>
      <c r="S76" s="10" t="s">
        <v>573</v>
      </c>
      <c r="T76" s="10" t="s">
        <v>576</v>
      </c>
      <c r="U76" s="189"/>
      <c r="V76" s="10">
        <v>3.8</v>
      </c>
      <c r="W76" s="10">
        <v>182</v>
      </c>
      <c r="X76" s="61">
        <v>0.089</v>
      </c>
      <c r="Y76" s="10">
        <v>3</v>
      </c>
      <c r="Z76" s="66">
        <f t="shared" si="12"/>
        <v>0.0036525599999999987</v>
      </c>
      <c r="AA76" s="66">
        <f>X76*W76*Y76*0.0036</f>
        <v>0.1749384</v>
      </c>
      <c r="AB76" s="97">
        <v>15</v>
      </c>
      <c r="AC76" s="97">
        <v>12</v>
      </c>
      <c r="AD76" s="67">
        <f>Z76*AB76*AC76</f>
        <v>0.6574607999999997</v>
      </c>
      <c r="AE76" s="67">
        <f>AA76*AB76*AC76</f>
        <v>31.488912</v>
      </c>
    </row>
    <row r="77" spans="1:31" s="29" customFormat="1" ht="39.75" customHeight="1">
      <c r="A77" s="138"/>
      <c r="B77" s="138"/>
      <c r="C77" s="138"/>
      <c r="D77" s="164"/>
      <c r="E77" s="138"/>
      <c r="F77" s="136"/>
      <c r="G77" s="144"/>
      <c r="H77" s="144"/>
      <c r="I77" s="144"/>
      <c r="J77" s="158"/>
      <c r="K77" s="158"/>
      <c r="L77" s="158"/>
      <c r="M77" s="158"/>
      <c r="N77" s="6" t="s">
        <v>58</v>
      </c>
      <c r="O77" s="6" t="s">
        <v>340</v>
      </c>
      <c r="P77" s="10">
        <v>91372.57</v>
      </c>
      <c r="Q77" s="10">
        <v>96180.18</v>
      </c>
      <c r="R77" s="10">
        <v>2686</v>
      </c>
      <c r="S77" s="10" t="s">
        <v>574</v>
      </c>
      <c r="T77" s="10" t="s">
        <v>577</v>
      </c>
      <c r="U77" s="190"/>
      <c r="V77" s="10">
        <v>36.6</v>
      </c>
      <c r="W77" s="10">
        <v>177</v>
      </c>
      <c r="X77" s="61">
        <f>((4.6+4.88+4.94+5+5.03+4.4+5.26)/7)</f>
        <v>4.872857142857143</v>
      </c>
      <c r="Y77" s="10">
        <v>3</v>
      </c>
      <c r="Z77" s="66">
        <f t="shared" si="12"/>
        <v>1.9261429714285712</v>
      </c>
      <c r="AA77" s="66">
        <f t="shared" si="13"/>
        <v>9.314953714285714</v>
      </c>
      <c r="AB77" s="97">
        <v>15</v>
      </c>
      <c r="AC77" s="97">
        <v>12</v>
      </c>
      <c r="AD77" s="67">
        <f t="shared" si="10"/>
        <v>346.70573485714283</v>
      </c>
      <c r="AE77" s="67">
        <f t="shared" si="11"/>
        <v>1676.6916685714286</v>
      </c>
    </row>
    <row r="78" spans="1:31" s="29" customFormat="1" ht="37.5" customHeight="1">
      <c r="A78" s="137">
        <v>3</v>
      </c>
      <c r="B78" s="137" t="s">
        <v>335</v>
      </c>
      <c r="C78" s="137">
        <v>3</v>
      </c>
      <c r="D78" s="135" t="s">
        <v>348</v>
      </c>
      <c r="E78" s="135" t="s">
        <v>616</v>
      </c>
      <c r="F78" s="135" t="s">
        <v>881</v>
      </c>
      <c r="G78" s="137" t="s">
        <v>13</v>
      </c>
      <c r="H78" s="161" t="s">
        <v>80</v>
      </c>
      <c r="I78" s="161" t="s">
        <v>80</v>
      </c>
      <c r="J78" s="161" t="s">
        <v>80</v>
      </c>
      <c r="K78" s="161" t="s">
        <v>80</v>
      </c>
      <c r="L78" s="161" t="s">
        <v>80</v>
      </c>
      <c r="M78" s="161" t="s">
        <v>80</v>
      </c>
      <c r="N78" s="137" t="s">
        <v>58</v>
      </c>
      <c r="O78" s="10" t="s">
        <v>164</v>
      </c>
      <c r="P78" s="10"/>
      <c r="Q78" s="10"/>
      <c r="R78" s="10"/>
      <c r="S78" s="10" t="s">
        <v>773</v>
      </c>
      <c r="T78" s="10" t="s">
        <v>774</v>
      </c>
      <c r="U78" s="135" t="s">
        <v>779</v>
      </c>
      <c r="V78" s="10">
        <v>2</v>
      </c>
      <c r="W78" s="10">
        <v>103</v>
      </c>
      <c r="X78" s="10">
        <v>0.045</v>
      </c>
      <c r="Y78" s="10">
        <v>3</v>
      </c>
      <c r="Z78" s="73">
        <f t="shared" si="12"/>
        <v>0.000972</v>
      </c>
      <c r="AA78" s="73">
        <f t="shared" si="13"/>
        <v>0.050058</v>
      </c>
      <c r="AB78" s="70">
        <v>15</v>
      </c>
      <c r="AC78" s="70">
        <v>12</v>
      </c>
      <c r="AD78" s="74">
        <f t="shared" si="10"/>
        <v>0.17496</v>
      </c>
      <c r="AE78" s="74">
        <f t="shared" si="11"/>
        <v>9.01044</v>
      </c>
    </row>
    <row r="79" spans="1:31" s="29" customFormat="1" ht="36.75" customHeight="1">
      <c r="A79" s="138"/>
      <c r="B79" s="138"/>
      <c r="C79" s="138"/>
      <c r="D79" s="136"/>
      <c r="E79" s="136"/>
      <c r="F79" s="136"/>
      <c r="G79" s="138"/>
      <c r="H79" s="162"/>
      <c r="I79" s="162"/>
      <c r="J79" s="162"/>
      <c r="K79" s="162"/>
      <c r="L79" s="162"/>
      <c r="M79" s="162"/>
      <c r="N79" s="138"/>
      <c r="O79" s="10" t="s">
        <v>164</v>
      </c>
      <c r="P79" s="10"/>
      <c r="Q79" s="10"/>
      <c r="R79" s="10"/>
      <c r="S79" s="10" t="s">
        <v>775</v>
      </c>
      <c r="T79" s="10" t="s">
        <v>776</v>
      </c>
      <c r="U79" s="136"/>
      <c r="V79" s="10">
        <v>3</v>
      </c>
      <c r="W79" s="10">
        <v>47</v>
      </c>
      <c r="X79" s="10">
        <v>9</v>
      </c>
      <c r="Y79" s="10">
        <v>3</v>
      </c>
      <c r="Z79" s="73">
        <f t="shared" si="12"/>
        <v>0.29159999999999997</v>
      </c>
      <c r="AA79" s="73">
        <f t="shared" si="13"/>
        <v>4.5684</v>
      </c>
      <c r="AB79" s="70">
        <v>15</v>
      </c>
      <c r="AC79" s="70">
        <v>12</v>
      </c>
      <c r="AD79" s="74">
        <f>Z79*AB79*AC79</f>
        <v>52.488</v>
      </c>
      <c r="AE79" s="74">
        <f>AA79*AB79*AC79</f>
        <v>822.3119999999999</v>
      </c>
    </row>
    <row r="80" spans="1:31" s="29" customFormat="1" ht="39.75" customHeight="1">
      <c r="A80" s="135">
        <v>4</v>
      </c>
      <c r="B80" s="135" t="s">
        <v>335</v>
      </c>
      <c r="C80" s="137">
        <v>3</v>
      </c>
      <c r="D80" s="163" t="s">
        <v>349</v>
      </c>
      <c r="E80" s="135" t="s">
        <v>617</v>
      </c>
      <c r="F80" s="135" t="s">
        <v>882</v>
      </c>
      <c r="G80" s="144" t="s">
        <v>314</v>
      </c>
      <c r="H80" s="144" t="s">
        <v>950</v>
      </c>
      <c r="I80" s="179">
        <v>42773</v>
      </c>
      <c r="J80" s="178">
        <v>42783</v>
      </c>
      <c r="K80" s="178">
        <v>42800</v>
      </c>
      <c r="L80" s="141" t="s">
        <v>91</v>
      </c>
      <c r="M80" s="178">
        <v>44625</v>
      </c>
      <c r="N80" s="167" t="s">
        <v>58</v>
      </c>
      <c r="O80" s="6" t="s">
        <v>338</v>
      </c>
      <c r="P80" s="10">
        <v>92111.1</v>
      </c>
      <c r="Q80" s="10">
        <v>95950.4</v>
      </c>
      <c r="R80" s="10">
        <v>2731</v>
      </c>
      <c r="S80" s="6" t="s">
        <v>578</v>
      </c>
      <c r="T80" s="6" t="s">
        <v>579</v>
      </c>
      <c r="U80" s="163" t="s">
        <v>780</v>
      </c>
      <c r="V80" s="10">
        <v>2.6</v>
      </c>
      <c r="W80" s="10">
        <v>1968</v>
      </c>
      <c r="X80" s="10">
        <v>0.261</v>
      </c>
      <c r="Y80" s="10">
        <v>3</v>
      </c>
      <c r="Z80" s="66">
        <f t="shared" si="12"/>
        <v>0.00732888</v>
      </c>
      <c r="AA80" s="66">
        <f t="shared" si="13"/>
        <v>5.5473984</v>
      </c>
      <c r="AB80" s="97">
        <v>15</v>
      </c>
      <c r="AC80" s="97">
        <v>12</v>
      </c>
      <c r="AD80" s="67">
        <f>Z80*AB80*AC80</f>
        <v>1.3191984</v>
      </c>
      <c r="AE80" s="67">
        <f>AA80*AB80*AC80</f>
        <v>998.5317119999999</v>
      </c>
    </row>
    <row r="81" spans="1:31" s="29" customFormat="1" ht="26.25" customHeight="1">
      <c r="A81" s="155"/>
      <c r="B81" s="155"/>
      <c r="C81" s="153"/>
      <c r="D81" s="183"/>
      <c r="E81" s="155"/>
      <c r="F81" s="155"/>
      <c r="G81" s="144"/>
      <c r="H81" s="141"/>
      <c r="I81" s="179"/>
      <c r="J81" s="158"/>
      <c r="K81" s="158"/>
      <c r="L81" s="141"/>
      <c r="M81" s="158"/>
      <c r="N81" s="184"/>
      <c r="O81" s="6" t="s">
        <v>339</v>
      </c>
      <c r="P81" s="10">
        <v>92110.99</v>
      </c>
      <c r="Q81" s="10">
        <v>96017.94</v>
      </c>
      <c r="R81" s="10">
        <v>2647</v>
      </c>
      <c r="S81" s="6" t="s">
        <v>581</v>
      </c>
      <c r="T81" s="6" t="s">
        <v>580</v>
      </c>
      <c r="U81" s="183"/>
      <c r="V81" s="10">
        <v>2</v>
      </c>
      <c r="W81" s="10">
        <v>16</v>
      </c>
      <c r="X81" s="10">
        <v>0.109</v>
      </c>
      <c r="Y81" s="6">
        <v>3</v>
      </c>
      <c r="Z81" s="73">
        <f t="shared" si="12"/>
        <v>0.0023544</v>
      </c>
      <c r="AA81" s="73">
        <f>X81*W81*Y81*0.0036</f>
        <v>0.0188352</v>
      </c>
      <c r="AB81" s="70">
        <v>15</v>
      </c>
      <c r="AC81" s="70">
        <v>12</v>
      </c>
      <c r="AD81" s="74">
        <f>Z81*AB81*AC81</f>
        <v>0.423792</v>
      </c>
      <c r="AE81" s="74">
        <f>AA81*AB81*AC81</f>
        <v>3.390336</v>
      </c>
    </row>
    <row r="82" spans="1:31" s="29" customFormat="1" ht="42.75" customHeight="1">
      <c r="A82" s="136"/>
      <c r="B82" s="136"/>
      <c r="C82" s="138"/>
      <c r="D82" s="164"/>
      <c r="E82" s="136"/>
      <c r="F82" s="136"/>
      <c r="G82" s="144"/>
      <c r="H82" s="141"/>
      <c r="I82" s="179"/>
      <c r="J82" s="158"/>
      <c r="K82" s="158"/>
      <c r="L82" s="141"/>
      <c r="M82" s="158"/>
      <c r="N82" s="168"/>
      <c r="O82" s="6" t="s">
        <v>347</v>
      </c>
      <c r="P82" s="10">
        <v>92123.29</v>
      </c>
      <c r="Q82" s="10">
        <v>96073.45</v>
      </c>
      <c r="R82" s="10">
        <v>2652</v>
      </c>
      <c r="S82" s="6" t="s">
        <v>583</v>
      </c>
      <c r="T82" s="6" t="s">
        <v>582</v>
      </c>
      <c r="U82" s="164"/>
      <c r="V82" s="10">
        <v>2</v>
      </c>
      <c r="W82" s="10">
        <v>9</v>
      </c>
      <c r="X82" s="10">
        <v>0.182</v>
      </c>
      <c r="Y82" s="6">
        <v>3</v>
      </c>
      <c r="Z82" s="73">
        <f t="shared" si="12"/>
        <v>0.0039312</v>
      </c>
      <c r="AA82" s="73">
        <f>X82*W82*Y82*0.0036</f>
        <v>0.0176904</v>
      </c>
      <c r="AB82" s="70">
        <v>15</v>
      </c>
      <c r="AC82" s="70">
        <v>12</v>
      </c>
      <c r="AD82" s="74">
        <f>Z82*AB82*AC82</f>
        <v>0.707616</v>
      </c>
      <c r="AE82" s="74">
        <f>AA82*AB82*AC82</f>
        <v>3.184272</v>
      </c>
    </row>
    <row r="83" spans="1:31" ht="12.75">
      <c r="A83" s="29"/>
      <c r="B83" s="29"/>
      <c r="C83" s="29"/>
      <c r="D83" s="31"/>
      <c r="E83" s="30"/>
      <c r="U83" s="29"/>
      <c r="V83" s="29"/>
      <c r="W83" s="29"/>
      <c r="X83" s="29"/>
      <c r="Y83" s="29"/>
      <c r="Z83" s="29"/>
      <c r="AA83" s="29"/>
      <c r="AB83" s="29"/>
      <c r="AC83" s="29"/>
      <c r="AD83" s="39"/>
      <c r="AE83" s="39"/>
    </row>
    <row r="86" spans="29:31" ht="12.75">
      <c r="AC86" s="3" t="s">
        <v>917</v>
      </c>
      <c r="AD86" s="20">
        <f>SUM(AD3:AD36,AD39:AD59,AD62:AD65)</f>
        <v>27357.403644745238</v>
      </c>
      <c r="AE86" s="20">
        <f>SUM(AE3:AE36,AE39:AE59,AE62:AE65)</f>
        <v>28467.597254432174</v>
      </c>
    </row>
    <row r="87" spans="29:31" ht="12.75">
      <c r="AC87" s="22" t="s">
        <v>918</v>
      </c>
      <c r="AD87" s="23">
        <f>SUM(AD67:AD82)</f>
        <v>571.2758550308573</v>
      </c>
      <c r="AE87" s="23">
        <f>SUM(AE67:AE82)</f>
        <v>8273.58957534857</v>
      </c>
    </row>
    <row r="88" spans="29:30" ht="12.75">
      <c r="AC88" s="24"/>
      <c r="AD88" s="24"/>
    </row>
    <row r="89" spans="29:30" ht="12.75">
      <c r="AC89" s="24"/>
      <c r="AD89" s="24"/>
    </row>
    <row r="90" spans="29:30" ht="12.75">
      <c r="AC90" s="22"/>
      <c r="AD90" s="23"/>
    </row>
    <row r="91" spans="29:30" ht="12.75">
      <c r="AC91" s="23"/>
      <c r="AD91" s="23"/>
    </row>
    <row r="92" spans="29:30" ht="12.75">
      <c r="AC92" s="22"/>
      <c r="AD92" s="23"/>
    </row>
    <row r="93" spans="29:30" ht="12.75">
      <c r="AC93" s="22"/>
      <c r="AD93" s="23"/>
    </row>
  </sheetData>
  <sheetProtection/>
  <mergeCells count="168">
    <mergeCell ref="M78:M79"/>
    <mergeCell ref="E78:E79"/>
    <mergeCell ref="N78:N79"/>
    <mergeCell ref="F78:F79"/>
    <mergeCell ref="G78:G79"/>
    <mergeCell ref="H78:H79"/>
    <mergeCell ref="U78:U79"/>
    <mergeCell ref="I78:I79"/>
    <mergeCell ref="J78:J79"/>
    <mergeCell ref="K78:K79"/>
    <mergeCell ref="L78:L79"/>
    <mergeCell ref="Y18:Y19"/>
    <mergeCell ref="Z18:Z19"/>
    <mergeCell ref="AA18:AA19"/>
    <mergeCell ref="AB18:AB19"/>
    <mergeCell ref="AC18:AC19"/>
    <mergeCell ref="I74:I77"/>
    <mergeCell ref="J74:J77"/>
    <mergeCell ref="K74:K77"/>
    <mergeCell ref="L74:L77"/>
    <mergeCell ref="U74:U77"/>
    <mergeCell ref="M80:M82"/>
    <mergeCell ref="N80:N82"/>
    <mergeCell ref="AD18:AD19"/>
    <mergeCell ref="U80:U82"/>
    <mergeCell ref="M74:M77"/>
    <mergeCell ref="AE18:AE19"/>
    <mergeCell ref="U18:U19"/>
    <mergeCell ref="V18:V19"/>
    <mergeCell ref="W18:W19"/>
    <mergeCell ref="X18:X19"/>
    <mergeCell ref="L80:L82"/>
    <mergeCell ref="F80:F82"/>
    <mergeCell ref="G80:G82"/>
    <mergeCell ref="H80:H82"/>
    <mergeCell ref="I80:I82"/>
    <mergeCell ref="J80:J82"/>
    <mergeCell ref="K80:K82"/>
    <mergeCell ref="H74:H77"/>
    <mergeCell ref="A80:A82"/>
    <mergeCell ref="B80:B82"/>
    <mergeCell ref="C80:C82"/>
    <mergeCell ref="D80:D82"/>
    <mergeCell ref="E80:E82"/>
    <mergeCell ref="A78:A79"/>
    <mergeCell ref="B78:B79"/>
    <mergeCell ref="C78:C79"/>
    <mergeCell ref="D78:D79"/>
    <mergeCell ref="M67:M73"/>
    <mergeCell ref="U67:U73"/>
    <mergeCell ref="A74:A77"/>
    <mergeCell ref="B74:B77"/>
    <mergeCell ref="C74:C77"/>
    <mergeCell ref="D74:D77"/>
    <mergeCell ref="E74:E77"/>
    <mergeCell ref="F74:F77"/>
    <mergeCell ref="G74:G77"/>
    <mergeCell ref="A67:A73"/>
    <mergeCell ref="B67:B73"/>
    <mergeCell ref="C67:C73"/>
    <mergeCell ref="D67:D73"/>
    <mergeCell ref="E67:E73"/>
    <mergeCell ref="H67:H73"/>
    <mergeCell ref="L32:L33"/>
    <mergeCell ref="G32:G33"/>
    <mergeCell ref="H32:H33"/>
    <mergeCell ref="I32:I33"/>
    <mergeCell ref="J32:J33"/>
    <mergeCell ref="M32:M33"/>
    <mergeCell ref="N32:N33"/>
    <mergeCell ref="F67:F73"/>
    <mergeCell ref="G67:G73"/>
    <mergeCell ref="O32:O33"/>
    <mergeCell ref="I67:I73"/>
    <mergeCell ref="J67:J73"/>
    <mergeCell ref="K67:K73"/>
    <mergeCell ref="L67:L73"/>
    <mergeCell ref="F32:F33"/>
    <mergeCell ref="K32:K33"/>
    <mergeCell ref="AD23:AD24"/>
    <mergeCell ref="AE23:AE24"/>
    <mergeCell ref="X23:X24"/>
    <mergeCell ref="Y23:Y24"/>
    <mergeCell ref="Z23:Z24"/>
    <mergeCell ref="AA23:AA24"/>
    <mergeCell ref="S23:S24"/>
    <mergeCell ref="AB23:AB24"/>
    <mergeCell ref="AC23:AC24"/>
    <mergeCell ref="A32:A33"/>
    <mergeCell ref="B32:B33"/>
    <mergeCell ref="C32:C33"/>
    <mergeCell ref="D32:D33"/>
    <mergeCell ref="E32:E33"/>
    <mergeCell ref="R23:R24"/>
    <mergeCell ref="F23:F24"/>
    <mergeCell ref="G23:G24"/>
    <mergeCell ref="H23:H24"/>
    <mergeCell ref="I23:I24"/>
    <mergeCell ref="T23:T24"/>
    <mergeCell ref="U23:U24"/>
    <mergeCell ref="V23:V24"/>
    <mergeCell ref="W23:W24"/>
    <mergeCell ref="L23:L24"/>
    <mergeCell ref="M23:M24"/>
    <mergeCell ref="N23:N24"/>
    <mergeCell ref="O23:O24"/>
    <mergeCell ref="P23:P24"/>
    <mergeCell ref="Q23:Q24"/>
    <mergeCell ref="J23:J24"/>
    <mergeCell ref="K23:K24"/>
    <mergeCell ref="K18:K19"/>
    <mergeCell ref="O18:O19"/>
    <mergeCell ref="A23:A24"/>
    <mergeCell ref="B23:B24"/>
    <mergeCell ref="C23:C24"/>
    <mergeCell ref="D23:D24"/>
    <mergeCell ref="E23:E24"/>
    <mergeCell ref="L18:L19"/>
    <mergeCell ref="E18:E19"/>
    <mergeCell ref="L14:L15"/>
    <mergeCell ref="M14:M15"/>
    <mergeCell ref="N14:N15"/>
    <mergeCell ref="N18:N19"/>
    <mergeCell ref="F18:F19"/>
    <mergeCell ref="G18:G19"/>
    <mergeCell ref="H18:H19"/>
    <mergeCell ref="I18:I19"/>
    <mergeCell ref="J18:J19"/>
    <mergeCell ref="H14:H15"/>
    <mergeCell ref="I14:I15"/>
    <mergeCell ref="J14:J15"/>
    <mergeCell ref="K14:K15"/>
    <mergeCell ref="O14:O15"/>
    <mergeCell ref="M18:M19"/>
    <mergeCell ref="A18:A19"/>
    <mergeCell ref="B18:B19"/>
    <mergeCell ref="C18:C19"/>
    <mergeCell ref="D18:D19"/>
    <mergeCell ref="AB1:AB2"/>
    <mergeCell ref="AC1:AC2"/>
    <mergeCell ref="A14:A15"/>
    <mergeCell ref="B14:B15"/>
    <mergeCell ref="C14:C15"/>
    <mergeCell ref="D14:D15"/>
    <mergeCell ref="E14:E15"/>
    <mergeCell ref="F14:F15"/>
    <mergeCell ref="G14:G15"/>
    <mergeCell ref="S1:T1"/>
    <mergeCell ref="U1:U2"/>
    <mergeCell ref="V1:V2"/>
    <mergeCell ref="F1:F2"/>
    <mergeCell ref="G1:M1"/>
    <mergeCell ref="N1:N2"/>
    <mergeCell ref="O1:O2"/>
    <mergeCell ref="W1:W2"/>
    <mergeCell ref="AD1:AD2"/>
    <mergeCell ref="AE1:AE2"/>
    <mergeCell ref="X1:X2"/>
    <mergeCell ref="Y1:Y2"/>
    <mergeCell ref="Z1:Z2"/>
    <mergeCell ref="AA1:AA2"/>
    <mergeCell ref="P1:Q1"/>
    <mergeCell ref="R1:R2"/>
    <mergeCell ref="A1:A2"/>
    <mergeCell ref="B1:B2"/>
    <mergeCell ref="C1:C2"/>
    <mergeCell ref="D1:D2"/>
    <mergeCell ref="E1:E2"/>
  </mergeCells>
  <conditionalFormatting sqref="D23">
    <cfRule type="duplicateValues" priority="5" dxfId="5">
      <formula>AND(COUNTIF($D$23:$D$23,D23)&gt;1,NOT(ISBLANK(D23)))</formula>
    </cfRule>
  </conditionalFormatting>
  <conditionalFormatting sqref="D25">
    <cfRule type="duplicateValues" priority="4" dxfId="5">
      <formula>AND(COUNTIF($D$25:$D$25,D25)&gt;1,NOT(ISBLANK(D25)))</formula>
    </cfRule>
  </conditionalFormatting>
  <conditionalFormatting sqref="D22">
    <cfRule type="duplicateValues" priority="3" dxfId="5">
      <formula>AND(COUNTIF($D$22:$D$22,D22)&gt;1,NOT(ISBLANK(D22)))</formula>
    </cfRule>
  </conditionalFormatting>
  <conditionalFormatting sqref="D26">
    <cfRule type="duplicateValues" priority="2" dxfId="5">
      <formula>AND(COUNTIF($D$26:$D$26,D26)&gt;1,NOT(ISBLANK(D26)))</formula>
    </cfRule>
  </conditionalFormatting>
  <conditionalFormatting sqref="D27:D28">
    <cfRule type="duplicateValues" priority="1" dxfId="5">
      <formula>AND(COUNTIF($D$27:$D$28,D27)&gt;1,NOT(ISBLANK(D27)))</formula>
    </cfRule>
  </conditionalFormatting>
  <printOptions/>
  <pageMargins left="0.7" right="0.7" top="0.75" bottom="0.75" header="0.3" footer="0.3"/>
  <pageSetup horizontalDpi="300" verticalDpi="300" orientation="portrait" paperSize="9" r:id="rId1"/>
  <ignoredErrors>
    <ignoredError sqref="Z16:AA16 AD36:AE36 Z42:AA42 Z46:AA46 Z49:AA49 Z51:AA51 Z57:AA57 AD59:AE59" formula="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Hewlett-Packard Company</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ana.zorro</dc:creator>
  <cp:keywords/>
  <dc:description/>
  <cp:lastModifiedBy>MARCELA.REYES</cp:lastModifiedBy>
  <cp:lastPrinted>2015-08-13T12:32:55Z</cp:lastPrinted>
  <dcterms:created xsi:type="dcterms:W3CDTF">2012-01-05T14:54:29Z</dcterms:created>
  <dcterms:modified xsi:type="dcterms:W3CDTF">2021-10-20T05:37:40Z</dcterms:modified>
  <cp:category/>
  <cp:version/>
  <cp:contentType/>
  <cp:contentStatus/>
</cp:coreProperties>
</file>